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2.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3.xml" ContentType="application/vnd.openxmlformats-officedocument.spreadsheetml.chartsheet+xml"/>
  <Override PartName="/xl/worksheets/sheet13.xml" ContentType="application/vnd.openxmlformats-officedocument.spreadsheetml.worksheet+xml"/>
  <Override PartName="/xl/chartsheets/sheet4.xml" ContentType="application/vnd.openxmlformats-officedocument.spreadsheetml.chart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hartsheets/sheet5.xml" ContentType="application/vnd.openxmlformats-officedocument.spreadsheetml.chartsheet+xml"/>
  <Override PartName="/xl/worksheets/sheet17.xml" ContentType="application/vnd.openxmlformats-officedocument.spreadsheetml.worksheet+xml"/>
  <Override PartName="/xl/chartsheets/sheet6.xml" ContentType="application/vnd.openxmlformats-officedocument.spreadsheetml.chartsheet+xml"/>
  <Override PartName="/xl/worksheets/sheet18.xml" ContentType="application/vnd.openxmlformats-officedocument.spreadsheetml.worksheet+xml"/>
  <Override PartName="/xl/chartsheets/sheet7.xml" ContentType="application/vnd.openxmlformats-officedocument.spreadsheetml.chartsheet+xml"/>
  <Override PartName="/xl/worksheets/sheet19.xml" ContentType="application/vnd.openxmlformats-officedocument.spreadsheetml.worksheet+xml"/>
  <Override PartName="/xl/chartsheets/sheet8.xml" ContentType="application/vnd.openxmlformats-officedocument.spreadsheetml.chartsheet+xml"/>
  <Override PartName="/xl/worksheets/sheet20.xml" ContentType="application/vnd.openxmlformats-officedocument.spreadsheetml.worksheet+xml"/>
  <Override PartName="/xl/chartsheets/sheet9.xml" ContentType="application/vnd.openxmlformats-officedocument.spreadsheetml.chartsheet+xml"/>
  <Override PartName="/xl/worksheets/sheet21.xml" ContentType="application/vnd.openxmlformats-officedocument.spreadsheetml.worksheet+xml"/>
  <Override PartName="/xl/chartsheets/sheet10.xml" ContentType="application/vnd.openxmlformats-officedocument.spreadsheetml.chart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hartsheets/sheet11.xml" ContentType="application/vnd.openxmlformats-officedocument.spreadsheetml.chartsheet+xml"/>
  <Override PartName="/xl/worksheets/sheet28.xml" ContentType="application/vnd.openxmlformats-officedocument.spreadsheetml.worksheet+xml"/>
  <Override PartName="/xl/chartsheets/sheet12.xml" ContentType="application/vnd.openxmlformats-officedocument.spreadsheetml.chart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chartsheets/sheet13.xml" ContentType="application/vnd.openxmlformats-officedocument.spreadsheetml.chartsheet+xml"/>
  <Override PartName="/xl/worksheets/sheet35.xml" ContentType="application/vnd.openxmlformats-officedocument.spreadsheetml.worksheet+xml"/>
  <Override PartName="/xl/chartsheets/sheet14.xml" ContentType="application/vnd.openxmlformats-officedocument.spreadsheetml.chart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harts/chart16.xml" ContentType="application/vnd.openxmlformats-officedocument.drawingml.chart+xml"/>
  <Override PartName="/xl/charts/style9.xml" ContentType="application/vnd.ms-office.chartstyle+xml"/>
  <Override PartName="/xl/charts/colors9.xml" ContentType="application/vnd.ms-office.chartcolorstyle+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charts/chart19.xml" ContentType="application/vnd.openxmlformats-officedocument.drawingml.chart+xml"/>
  <Override PartName="/xl/charts/style12.xml" ContentType="application/vnd.ms-office.chartstyle+xml"/>
  <Override PartName="/xl/charts/colors12.xml" ContentType="application/vnd.ms-office.chartcolorstyle+xml"/>
  <Override PartName="/xl/charts/chart20.xml" ContentType="application/vnd.openxmlformats-officedocument.drawingml.chart+xml"/>
  <Override PartName="/xl/charts/style13.xml" ContentType="application/vnd.ms-office.chartstyle+xml"/>
  <Override PartName="/xl/charts/colors13.xml" ContentType="application/vnd.ms-office.chartcolorstyle+xml"/>
  <Override PartName="/xl/charts/chart21.xml" ContentType="application/vnd.openxmlformats-officedocument.drawingml.chart+xml"/>
  <Override PartName="/xl/charts/style14.xml" ContentType="application/vnd.ms-office.chartstyle+xml"/>
  <Override PartName="/xl/charts/colors14.xml" ContentType="application/vnd.ms-office.chartcolorstyle+xml"/>
  <Override PartName="/xl/charts/chart22.xml" ContentType="application/vnd.openxmlformats-officedocument.drawingml.chart+xml"/>
  <Override PartName="/xl/charts/style15.xml" ContentType="application/vnd.ms-office.chartstyle+xml"/>
  <Override PartName="/xl/charts/colors15.xml" ContentType="application/vnd.ms-office.chartcolorstyle+xml"/>
  <Override PartName="/xl/charts/chart23.xml" ContentType="application/vnd.openxmlformats-officedocument.drawingml.chart+xml"/>
  <Override PartName="/xl/charts/style16.xml" ContentType="application/vnd.ms-office.chartstyle+xml"/>
  <Override PartName="/xl/charts/colors16.xml" ContentType="application/vnd.ms-office.chartcolorstyle+xml"/>
  <Override PartName="/xl/charts/chart24.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drawings/drawing18.xml" ContentType="application/vnd.openxmlformats-officedocument.drawing+xml"/>
  <Override PartName="/xl/charts/chart2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bdcbbn-my.sharepoint.com/personal/marhain_hashim_bdcb_gov_bn/Documents/Pictures/Documents/ESU HSM/ESU FOLDER/STATISTICS/2. Website/AMBD STATISTICAL BULLETIN 2020 #/20 March 2020#/2026 Publications/"/>
    </mc:Choice>
  </mc:AlternateContent>
  <xr:revisionPtr revIDLastSave="66" documentId="8_{C6E47997-8A91-4BC8-87A9-B0471017C403}" xr6:coauthVersionLast="47" xr6:coauthVersionMax="47" xr10:uidLastSave="{1C89F7C8-798B-4DDE-97B0-08F37C975952}"/>
  <bookViews>
    <workbookView xWindow="-110" yWindow="-110" windowWidth="19420" windowHeight="10300" tabRatio="776" firstSheet="35" activeTab="49" xr2:uid="{00000000-000D-0000-FFFF-FFFF00000000}"/>
  </bookViews>
  <sheets>
    <sheet name="CONTENTS" sheetId="36" r:id="rId1"/>
    <sheet name="GLOSSARY" sheetId="37" r:id="rId2"/>
    <sheet name="1.1" sheetId="2" r:id="rId3"/>
    <sheet name="Chart 1.1" sheetId="60" r:id="rId4"/>
    <sheet name="1.2.1" sheetId="4" state="hidden" r:id="rId5"/>
    <sheet name="1.7" sheetId="5" state="hidden" r:id="rId6"/>
    <sheet name="1.2" sheetId="3" r:id="rId7"/>
    <sheet name="Chart 1.2" sheetId="59" r:id="rId8"/>
    <sheet name="1.3" sheetId="6" r:id="rId9"/>
    <sheet name="1.4" sheetId="7" r:id="rId10"/>
    <sheet name="1.5" sheetId="28" r:id="rId11"/>
    <sheet name="1.5.1" sheetId="13" r:id="rId12"/>
    <sheet name="2.1" sheetId="8" r:id="rId13"/>
    <sheet name="2.2" sheetId="9" r:id="rId14"/>
    <sheet name="Chart 2.1 &amp; 2.2" sheetId="58" r:id="rId15"/>
    <sheet name="2.3" sheetId="10" r:id="rId16"/>
    <sheet name="Chart 2.3" sheetId="57" r:id="rId17"/>
    <sheet name="2.4" sheetId="11" r:id="rId18"/>
    <sheet name="2.5" sheetId="33" r:id="rId19"/>
    <sheet name="2.6" sheetId="32" r:id="rId20"/>
    <sheet name="Chart 2.6" sheetId="56" r:id="rId21"/>
    <sheet name="3.1" sheetId="15" r:id="rId22"/>
    <sheet name="Chart 3.1" sheetId="55" r:id="rId23"/>
    <sheet name="3.2" sheetId="16" r:id="rId24"/>
    <sheet name="Chart 3.2" sheetId="54" r:id="rId25"/>
    <sheet name="3.3" sheetId="17" r:id="rId26"/>
    <sheet name="Chart 3.3" sheetId="53" r:id="rId27"/>
    <sheet name="4.1" sheetId="38" r:id="rId28"/>
    <sheet name="Chart 4.1" sheetId="52" r:id="rId29"/>
    <sheet name="4.2" sheetId="39" r:id="rId30"/>
    <sheet name="Chart 4.2" sheetId="51" r:id="rId31"/>
    <sheet name="4.3" sheetId="40" r:id="rId32"/>
    <sheet name="Chart 4.3" sheetId="74" r:id="rId33"/>
    <sheet name="4.4" sheetId="41" r:id="rId34"/>
    <sheet name="4.5" sheetId="42" r:id="rId35"/>
    <sheet name="4.6" sheetId="43" r:id="rId36"/>
    <sheet name="4.7" sheetId="47" r:id="rId37"/>
    <sheet name="Chart 4.7" sheetId="49" r:id="rId38"/>
    <sheet name=" 5.1" sheetId="65" r:id="rId39"/>
    <sheet name="Chart 5.1" sheetId="72" r:id="rId40"/>
    <sheet name="5.2 " sheetId="67" r:id="rId41"/>
    <sheet name="Chart 5.2" sheetId="68" r:id="rId42"/>
    <sheet name=" 5.3" sheetId="69" r:id="rId43"/>
    <sheet name="6.1" sheetId="12" r:id="rId44"/>
    <sheet name="5.1" sheetId="1" state="hidden" r:id="rId45"/>
    <sheet name="5.2" sheetId="21" state="hidden" r:id="rId46"/>
    <sheet name="Chart 6.1" sheetId="71" r:id="rId47"/>
    <sheet name=" 6.2" sheetId="14" r:id="rId48"/>
    <sheet name="Chart 6.2" sheetId="73" r:id="rId49"/>
    <sheet name="6.3" sheetId="61" r:id="rId50"/>
    <sheet name="2.7" sheetId="34" state="hidden" r:id="rId51"/>
  </sheets>
  <definedNames>
    <definedName name="_xlnm.Print_Area" localSheetId="47">' 6.2'!$A$1:$R$228</definedName>
    <definedName name="_xlnm.Print_Area" localSheetId="2">'1.1'!$A$1:$G$190</definedName>
    <definedName name="_xlnm.Print_Area" localSheetId="10">'1.5'!$A$1:$H$179</definedName>
    <definedName name="_xlnm.Print_Area" localSheetId="11">'1.5.1'!$A$1:$F$179</definedName>
    <definedName name="_xlnm.Print_Area" localSheetId="21">'3.1'!$A$1:$I$68</definedName>
    <definedName name="_xlnm.Print_Area" localSheetId="43">'6.1'!$A$1:$F$189</definedName>
    <definedName name="_xlnm.Print_Titles" localSheetId="0">CONTENTS!$1:$2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7" i="7" l="1"/>
  <c r="C186" i="7"/>
  <c r="C185" i="7"/>
  <c r="C187" i="6"/>
  <c r="C186" i="6"/>
  <c r="C185" i="6"/>
  <c r="F188" i="3"/>
  <c r="H188" i="3" s="1"/>
  <c r="F187" i="3"/>
  <c r="H187" i="3" s="1"/>
  <c r="F186" i="3"/>
  <c r="H186" i="3" s="1"/>
  <c r="P68" i="10"/>
  <c r="L68" i="10"/>
  <c r="F68" i="10"/>
  <c r="C68" i="10" l="1"/>
  <c r="E68" i="10"/>
  <c r="D68" i="10" s="1"/>
  <c r="G66" i="17" l="1"/>
  <c r="D66" i="17"/>
  <c r="G66" i="16"/>
  <c r="D66" i="16"/>
  <c r="G66" i="15"/>
  <c r="D66" i="15"/>
  <c r="C66" i="11"/>
  <c r="I187" i="9"/>
  <c r="I186" i="9"/>
  <c r="I185" i="9"/>
  <c r="D187" i="9"/>
  <c r="D186" i="9"/>
  <c r="D185" i="9"/>
  <c r="F187" i="8"/>
  <c r="C187" i="8" s="1"/>
  <c r="F186" i="8"/>
  <c r="C186" i="8" s="1"/>
  <c r="F185" i="8"/>
  <c r="C185" i="8" s="1"/>
  <c r="C48" i="42"/>
  <c r="V49" i="41"/>
  <c r="P49" i="41"/>
  <c r="J49" i="41"/>
  <c r="D49" i="41"/>
  <c r="C48" i="39"/>
  <c r="C66" i="16" l="1"/>
  <c r="C186" i="9"/>
  <c r="C187" i="9"/>
  <c r="C185" i="9"/>
  <c r="C66" i="17"/>
  <c r="C66" i="15"/>
  <c r="C49" i="41"/>
  <c r="C48" i="38" l="1"/>
  <c r="C65" i="11"/>
  <c r="P67" i="10" l="1"/>
  <c r="L67" i="10"/>
  <c r="F67" i="10"/>
  <c r="F182" i="8"/>
  <c r="C182" i="8" s="1"/>
  <c r="F184" i="8"/>
  <c r="C184" i="8" s="1"/>
  <c r="F183" i="8"/>
  <c r="C183" i="8" s="1"/>
  <c r="E67" i="10" l="1"/>
  <c r="D67" i="10" s="1"/>
  <c r="C67" i="10"/>
  <c r="G65" i="17"/>
  <c r="D65" i="17"/>
  <c r="G65" i="16"/>
  <c r="D65" i="16"/>
  <c r="G65" i="15"/>
  <c r="D65" i="15"/>
  <c r="I184" i="9"/>
  <c r="I183" i="9"/>
  <c r="I182" i="9"/>
  <c r="D184" i="9"/>
  <c r="D183" i="9"/>
  <c r="D182" i="9"/>
  <c r="C183" i="9" l="1"/>
  <c r="C182" i="9"/>
  <c r="C184" i="9"/>
  <c r="C65" i="17"/>
  <c r="C65" i="16"/>
  <c r="C65" i="15"/>
  <c r="C184" i="7"/>
  <c r="C183" i="7"/>
  <c r="C182" i="7"/>
  <c r="C184" i="6"/>
  <c r="C183" i="6"/>
  <c r="C182" i="6"/>
  <c r="F185" i="3"/>
  <c r="H185" i="3" s="1"/>
  <c r="F184" i="3"/>
  <c r="H184" i="3" s="1"/>
  <c r="F183" i="3"/>
  <c r="H183" i="3" s="1"/>
  <c r="C196" i="2"/>
  <c r="G196" i="2" s="1"/>
  <c r="C195" i="2"/>
  <c r="G195" i="2" s="1"/>
  <c r="C194" i="2"/>
  <c r="G194" i="2" s="1"/>
  <c r="C47" i="39" l="1"/>
  <c r="C47" i="38" l="1"/>
  <c r="C47" i="42"/>
  <c r="V48" i="41"/>
  <c r="P48" i="41"/>
  <c r="J48" i="41"/>
  <c r="D48" i="41"/>
  <c r="C181" i="7"/>
  <c r="C180" i="7"/>
  <c r="C179" i="7"/>
  <c r="C181" i="6"/>
  <c r="C180" i="6"/>
  <c r="C179" i="6"/>
  <c r="F180" i="3"/>
  <c r="H180" i="3" s="1"/>
  <c r="C48" i="41" l="1"/>
  <c r="F182" i="3"/>
  <c r="H182" i="3" s="1"/>
  <c r="F181" i="3"/>
  <c r="H181" i="3" s="1"/>
  <c r="C193" i="2"/>
  <c r="G193" i="2" s="1"/>
  <c r="C192" i="2"/>
  <c r="G192" i="2" s="1"/>
  <c r="C191" i="2"/>
  <c r="G191" i="2" s="1"/>
  <c r="P66" i="10" l="1"/>
  <c r="L66" i="10"/>
  <c r="F66" i="10"/>
  <c r="I181" i="9"/>
  <c r="I180" i="9"/>
  <c r="I179" i="9"/>
  <c r="D181" i="9"/>
  <c r="D180" i="9"/>
  <c r="D179" i="9"/>
  <c r="F181" i="8"/>
  <c r="C181" i="8" s="1"/>
  <c r="F180" i="8"/>
  <c r="C180" i="8" s="1"/>
  <c r="F179" i="8"/>
  <c r="C179" i="8" s="1"/>
  <c r="C64" i="11"/>
  <c r="C66" i="10" l="1"/>
  <c r="E66" i="10"/>
  <c r="D66" i="10" s="1"/>
  <c r="C180" i="9"/>
  <c r="C179" i="9"/>
  <c r="C181" i="9"/>
  <c r="G64" i="17"/>
  <c r="D64" i="17"/>
  <c r="G64" i="16"/>
  <c r="D64" i="16"/>
  <c r="D64" i="15"/>
  <c r="G64" i="15"/>
  <c r="C64" i="17" l="1"/>
  <c r="C64" i="16"/>
  <c r="C64" i="15"/>
  <c r="C46" i="42" l="1"/>
  <c r="J47" i="41"/>
  <c r="V47" i="41"/>
  <c r="P47" i="41"/>
  <c r="D47" i="41"/>
  <c r="C46" i="39"/>
  <c r="C47" i="41" l="1"/>
  <c r="C46" i="38" l="1"/>
  <c r="G63" i="17" l="1"/>
  <c r="D63" i="17"/>
  <c r="G63" i="16"/>
  <c r="D63" i="16"/>
  <c r="G63" i="15"/>
  <c r="D63" i="15"/>
  <c r="C63" i="17" l="1"/>
  <c r="C63" i="16"/>
  <c r="C63" i="15"/>
  <c r="P65" i="10" l="1"/>
  <c r="F65" i="10"/>
  <c r="L65" i="10"/>
  <c r="F179" i="3"/>
  <c r="F178" i="3"/>
  <c r="F177" i="3"/>
  <c r="E65" i="10" l="1"/>
  <c r="D65" i="10" s="1"/>
  <c r="C65" i="10"/>
  <c r="C63" i="11" l="1"/>
  <c r="I178" i="9"/>
  <c r="I177" i="9"/>
  <c r="I176" i="9"/>
  <c r="D178" i="9"/>
  <c r="D177" i="9"/>
  <c r="D176" i="9"/>
  <c r="F178" i="8"/>
  <c r="C178" i="8" s="1"/>
  <c r="F177" i="8"/>
  <c r="C177" i="8" s="1"/>
  <c r="F176" i="8"/>
  <c r="C176" i="8" s="1"/>
  <c r="C177" i="9" l="1"/>
  <c r="C176" i="9"/>
  <c r="C178" i="9"/>
  <c r="C178" i="7"/>
  <c r="C177" i="7"/>
  <c r="C176" i="7"/>
  <c r="C178" i="6"/>
  <c r="C177" i="6"/>
  <c r="C176" i="6"/>
  <c r="H179" i="3"/>
  <c r="H178" i="3"/>
  <c r="H177" i="3"/>
  <c r="C190" i="2" l="1"/>
  <c r="G190" i="2" s="1"/>
  <c r="C189" i="2"/>
  <c r="G189" i="2" s="1"/>
  <c r="C188" i="2"/>
  <c r="G188" i="2" s="1"/>
  <c r="C187" i="2"/>
  <c r="G187" i="2" s="1"/>
  <c r="C186" i="2"/>
  <c r="G186" i="2" s="1"/>
  <c r="C45" i="42"/>
  <c r="V46" i="41"/>
  <c r="P46" i="41"/>
  <c r="J46" i="41"/>
  <c r="D46" i="41"/>
  <c r="C45" i="39"/>
  <c r="C45" i="38"/>
  <c r="C175" i="7"/>
  <c r="C174" i="7"/>
  <c r="C173" i="7"/>
  <c r="C175" i="6"/>
  <c r="C174" i="6"/>
  <c r="C173" i="6"/>
  <c r="F176" i="3"/>
  <c r="H176" i="3" s="1"/>
  <c r="F175" i="3"/>
  <c r="H175" i="3" s="1"/>
  <c r="F174" i="3"/>
  <c r="H174" i="3" s="1"/>
  <c r="C46" i="41" l="1"/>
  <c r="C185" i="2"/>
  <c r="G185" i="2" s="1"/>
  <c r="G62" i="17"/>
  <c r="D62" i="17"/>
  <c r="G62" i="16"/>
  <c r="D62" i="16"/>
  <c r="G62" i="15"/>
  <c r="D62" i="15"/>
  <c r="C62" i="17" l="1"/>
  <c r="C62" i="16"/>
  <c r="C62" i="15"/>
  <c r="C62" i="11" l="1"/>
  <c r="P64" i="10"/>
  <c r="L64" i="10"/>
  <c r="F64" i="10"/>
  <c r="I175" i="9"/>
  <c r="I174" i="9"/>
  <c r="I173" i="9"/>
  <c r="D175" i="9"/>
  <c r="D174" i="9"/>
  <c r="D173" i="9"/>
  <c r="F175" i="8"/>
  <c r="C175" i="8" s="1"/>
  <c r="F174" i="8"/>
  <c r="C174" i="8" s="1"/>
  <c r="F173" i="8"/>
  <c r="C173" i="8" s="1"/>
  <c r="C44" i="42"/>
  <c r="V45" i="41"/>
  <c r="P45" i="41"/>
  <c r="J45" i="41"/>
  <c r="D45" i="41"/>
  <c r="C44" i="39"/>
  <c r="C64" i="10" l="1"/>
  <c r="E64" i="10"/>
  <c r="D64" i="10" s="1"/>
  <c r="C174" i="9"/>
  <c r="C173" i="9"/>
  <c r="C175" i="9"/>
  <c r="C45" i="41"/>
  <c r="C44" i="38" l="1"/>
  <c r="G61" i="17"/>
  <c r="D61" i="17"/>
  <c r="G61" i="16"/>
  <c r="D61" i="16"/>
  <c r="G61" i="15"/>
  <c r="D61" i="15"/>
  <c r="C61" i="11"/>
  <c r="P63" i="10"/>
  <c r="L63" i="10"/>
  <c r="F63" i="10"/>
  <c r="I172" i="9"/>
  <c r="I171" i="9"/>
  <c r="I170" i="9"/>
  <c r="D172" i="9"/>
  <c r="D171" i="9"/>
  <c r="D170" i="9"/>
  <c r="F172" i="8"/>
  <c r="C172" i="8" s="1"/>
  <c r="F171" i="8"/>
  <c r="C171" i="8" s="1"/>
  <c r="F170" i="8"/>
  <c r="C170" i="8" s="1"/>
  <c r="C172" i="7"/>
  <c r="C171" i="7"/>
  <c r="C170" i="7"/>
  <c r="C172" i="6"/>
  <c r="C171" i="6"/>
  <c r="C170" i="6"/>
  <c r="F173" i="3"/>
  <c r="H173" i="3" s="1"/>
  <c r="F172" i="3"/>
  <c r="H172" i="3" s="1"/>
  <c r="F171" i="3"/>
  <c r="H171" i="3" s="1"/>
  <c r="C170" i="9" l="1"/>
  <c r="C171" i="9"/>
  <c r="C63" i="10"/>
  <c r="C61" i="17"/>
  <c r="C61" i="16"/>
  <c r="C61" i="15"/>
  <c r="E63" i="10"/>
  <c r="D63" i="10" s="1"/>
  <c r="C172" i="9"/>
  <c r="C184" i="2"/>
  <c r="G184" i="2" s="1"/>
  <c r="C183" i="2"/>
  <c r="G183" i="2" s="1"/>
  <c r="C182" i="2"/>
  <c r="G182" i="2" s="1"/>
  <c r="C43" i="42"/>
  <c r="V44" i="41"/>
  <c r="P44" i="41"/>
  <c r="J44" i="41"/>
  <c r="D44" i="41"/>
  <c r="C43" i="39"/>
  <c r="C44" i="41" l="1"/>
  <c r="C43" i="38" l="1"/>
  <c r="F168" i="3"/>
  <c r="C169" i="7" l="1"/>
  <c r="C168" i="7"/>
  <c r="C167" i="7"/>
  <c r="F170" i="3"/>
  <c r="H170" i="3" s="1"/>
  <c r="F169" i="3"/>
  <c r="H169" i="3" s="1"/>
  <c r="H168" i="3"/>
  <c r="C169" i="6"/>
  <c r="C168" i="6"/>
  <c r="C167" i="6"/>
  <c r="C181" i="2"/>
  <c r="G181" i="2" s="1"/>
  <c r="C180" i="2"/>
  <c r="G180" i="2" s="1"/>
  <c r="C179" i="2"/>
  <c r="G179" i="2" s="1"/>
  <c r="P62" i="10" l="1"/>
  <c r="L62" i="10"/>
  <c r="F62" i="10"/>
  <c r="I169" i="9"/>
  <c r="I168" i="9"/>
  <c r="I167" i="9"/>
  <c r="D169" i="9"/>
  <c r="D168" i="9"/>
  <c r="D167" i="9"/>
  <c r="F167" i="8"/>
  <c r="C167" i="8" s="1"/>
  <c r="F169" i="8"/>
  <c r="C169" i="8" s="1"/>
  <c r="F168" i="8"/>
  <c r="C168" i="8" s="1"/>
  <c r="C60" i="11"/>
  <c r="E62" i="10" l="1"/>
  <c r="D62" i="10" s="1"/>
  <c r="C62" i="10"/>
  <c r="C167" i="9"/>
  <c r="C168" i="9"/>
  <c r="C169" i="9"/>
  <c r="G60" i="17"/>
  <c r="D60" i="17"/>
  <c r="G60" i="16"/>
  <c r="D60" i="16"/>
  <c r="G60" i="15"/>
  <c r="D60" i="15"/>
  <c r="C42" i="42"/>
  <c r="V43" i="41"/>
  <c r="P43" i="41"/>
  <c r="J43" i="41"/>
  <c r="D43" i="41"/>
  <c r="C42" i="39"/>
  <c r="C60" i="17" l="1"/>
  <c r="C60" i="16"/>
  <c r="C60" i="15"/>
  <c r="C43" i="41"/>
  <c r="C42" i="38" l="1"/>
  <c r="D59" i="16"/>
  <c r="D59" i="15"/>
  <c r="G59" i="15"/>
  <c r="C59" i="15" l="1"/>
  <c r="C59" i="11"/>
  <c r="P61" i="10" l="1"/>
  <c r="L61" i="10"/>
  <c r="F61" i="10"/>
  <c r="F164" i="8"/>
  <c r="C164" i="8" s="1"/>
  <c r="G59" i="17"/>
  <c r="D59" i="17"/>
  <c r="G59" i="16"/>
  <c r="C59" i="16" s="1"/>
  <c r="D166" i="9"/>
  <c r="D165" i="9"/>
  <c r="D164" i="9"/>
  <c r="I166" i="9"/>
  <c r="I165" i="9"/>
  <c r="I164" i="9"/>
  <c r="F166" i="8"/>
  <c r="C166" i="8" s="1"/>
  <c r="F165" i="8"/>
  <c r="C165" i="8" s="1"/>
  <c r="C166" i="7"/>
  <c r="C165" i="7"/>
  <c r="C164" i="7"/>
  <c r="C166" i="6"/>
  <c r="C165" i="6"/>
  <c r="C164" i="6"/>
  <c r="F167" i="3"/>
  <c r="H167" i="3" s="1"/>
  <c r="F166" i="3"/>
  <c r="H166" i="3" s="1"/>
  <c r="F165" i="3"/>
  <c r="H165" i="3" s="1"/>
  <c r="E61" i="10" l="1"/>
  <c r="D61" i="10" s="1"/>
  <c r="C61" i="10"/>
  <c r="C164" i="9"/>
  <c r="C166" i="9"/>
  <c r="C165" i="9"/>
  <c r="C59" i="17"/>
  <c r="C178" i="2"/>
  <c r="G178" i="2" s="1"/>
  <c r="C177" i="2"/>
  <c r="G177" i="2" s="1"/>
  <c r="C176" i="2"/>
  <c r="G176" i="2" s="1"/>
  <c r="C41" i="42" l="1"/>
  <c r="V42" i="41"/>
  <c r="P42" i="41"/>
  <c r="J42" i="41"/>
  <c r="D42" i="41"/>
  <c r="C42" i="41" l="1"/>
  <c r="C41" i="39" l="1"/>
  <c r="C41" i="38" l="1"/>
  <c r="G58" i="17" l="1"/>
  <c r="D58" i="17"/>
  <c r="G58" i="16"/>
  <c r="D58" i="16"/>
  <c r="G58" i="15"/>
  <c r="D58" i="15"/>
  <c r="C58" i="11"/>
  <c r="P60" i="10"/>
  <c r="L60" i="10"/>
  <c r="F60" i="10"/>
  <c r="I163" i="9"/>
  <c r="I162" i="9"/>
  <c r="I161" i="9"/>
  <c r="D163" i="9"/>
  <c r="D162" i="9"/>
  <c r="D161" i="9"/>
  <c r="F163" i="8"/>
  <c r="C163" i="8" s="1"/>
  <c r="F162" i="8"/>
  <c r="C162" i="8" s="1"/>
  <c r="F161" i="8"/>
  <c r="C161" i="8" s="1"/>
  <c r="C175" i="2"/>
  <c r="G175" i="2" s="1"/>
  <c r="C174" i="2"/>
  <c r="G174" i="2" s="1"/>
  <c r="C173" i="2"/>
  <c r="G173" i="2" s="1"/>
  <c r="C172" i="2"/>
  <c r="G172" i="2" s="1"/>
  <c r="C171" i="2"/>
  <c r="G171" i="2" s="1"/>
  <c r="C170" i="2"/>
  <c r="G170" i="2" s="1"/>
  <c r="C169" i="2"/>
  <c r="G169" i="2" s="1"/>
  <c r="C168" i="2"/>
  <c r="G168" i="2" s="1"/>
  <c r="C167" i="2"/>
  <c r="G167" i="2" s="1"/>
  <c r="C166" i="2"/>
  <c r="G166" i="2" s="1"/>
  <c r="F164" i="3"/>
  <c r="H164" i="3" s="1"/>
  <c r="F163" i="3"/>
  <c r="H163" i="3" s="1"/>
  <c r="F162" i="3"/>
  <c r="H162" i="3" s="1"/>
  <c r="C163" i="7"/>
  <c r="C162" i="7"/>
  <c r="C161" i="7"/>
  <c r="C163" i="6"/>
  <c r="C162" i="6"/>
  <c r="C161" i="6"/>
  <c r="C40" i="42"/>
  <c r="V41" i="41"/>
  <c r="P41" i="41"/>
  <c r="J41" i="41"/>
  <c r="D41" i="41"/>
  <c r="C40" i="39"/>
  <c r="C58" i="16" l="1"/>
  <c r="C60" i="10"/>
  <c r="C162" i="9"/>
  <c r="C161" i="9"/>
  <c r="C163" i="9"/>
  <c r="C58" i="17"/>
  <c r="C58" i="15"/>
  <c r="E60" i="10"/>
  <c r="D60" i="10" s="1"/>
  <c r="C41" i="41"/>
  <c r="C40" i="38"/>
  <c r="P59" i="10"/>
  <c r="L59" i="10"/>
  <c r="F59" i="10"/>
  <c r="C160" i="7"/>
  <c r="C159" i="7"/>
  <c r="C158" i="7"/>
  <c r="C160" i="6"/>
  <c r="C159" i="6"/>
  <c r="C158" i="6"/>
  <c r="F161" i="3"/>
  <c r="H161" i="3" s="1"/>
  <c r="F160" i="3"/>
  <c r="H160" i="3" s="1"/>
  <c r="F159" i="3"/>
  <c r="H159" i="3" s="1"/>
  <c r="E59" i="10" l="1"/>
  <c r="D59" i="10" s="1"/>
  <c r="C59" i="10"/>
  <c r="C57" i="11" l="1"/>
  <c r="I160" i="9"/>
  <c r="I159" i="9"/>
  <c r="I158" i="9"/>
  <c r="D160" i="9"/>
  <c r="D159" i="9"/>
  <c r="D158" i="9"/>
  <c r="F160" i="8"/>
  <c r="C160" i="8" s="1"/>
  <c r="F159" i="8"/>
  <c r="C159" i="8" s="1"/>
  <c r="F158" i="8"/>
  <c r="C158" i="8" s="1"/>
  <c r="G57" i="17"/>
  <c r="D57" i="17"/>
  <c r="G57" i="16"/>
  <c r="D57" i="16"/>
  <c r="G57" i="15"/>
  <c r="D57" i="15"/>
  <c r="C57" i="16" l="1"/>
  <c r="C57" i="15"/>
  <c r="C158" i="9"/>
  <c r="C159" i="9"/>
  <c r="C160" i="9"/>
  <c r="C57" i="17"/>
  <c r="C39" i="42" l="1"/>
  <c r="V40" i="41"/>
  <c r="P40" i="41"/>
  <c r="J40" i="41"/>
  <c r="D40" i="41"/>
  <c r="C40" i="41" l="1"/>
  <c r="C39" i="39" l="1"/>
  <c r="C39" i="38"/>
  <c r="C165" i="2"/>
  <c r="G165" i="2" s="1"/>
  <c r="C164" i="2"/>
  <c r="G164" i="2" s="1"/>
  <c r="D157" i="9" l="1"/>
  <c r="D156" i="9"/>
  <c r="D155" i="9"/>
  <c r="I157" i="9"/>
  <c r="I156" i="9"/>
  <c r="I155" i="9"/>
  <c r="F157" i="8"/>
  <c r="C157" i="8" s="1"/>
  <c r="F156" i="8"/>
  <c r="C156" i="8" s="1"/>
  <c r="F155" i="8"/>
  <c r="C155" i="8" s="1"/>
  <c r="C156" i="9" l="1"/>
  <c r="C155" i="9"/>
  <c r="C157" i="9"/>
  <c r="F158" i="3" l="1"/>
  <c r="H158" i="3" s="1"/>
  <c r="F157" i="3"/>
  <c r="H157" i="3" s="1"/>
  <c r="F156" i="3"/>
  <c r="H156" i="3" s="1"/>
  <c r="F155" i="3"/>
  <c r="F154" i="3"/>
  <c r="F153" i="3"/>
  <c r="G56" i="17"/>
  <c r="D56" i="17"/>
  <c r="G56" i="16"/>
  <c r="D56" i="16"/>
  <c r="D56" i="15"/>
  <c r="G56" i="15"/>
  <c r="C56" i="11"/>
  <c r="C55" i="11"/>
  <c r="C54" i="11"/>
  <c r="C53" i="11"/>
  <c r="P58" i="10"/>
  <c r="L58" i="10"/>
  <c r="F58" i="10"/>
  <c r="C56" i="17" l="1"/>
  <c r="C56" i="16"/>
  <c r="C56" i="15"/>
  <c r="C58" i="10"/>
  <c r="E58" i="10"/>
  <c r="D58" i="10" s="1"/>
  <c r="C157" i="7"/>
  <c r="C156" i="7"/>
  <c r="C155" i="7"/>
  <c r="C157" i="6"/>
  <c r="C156" i="6"/>
  <c r="C155" i="6"/>
  <c r="C38" i="42" l="1"/>
  <c r="V39" i="41"/>
  <c r="V38" i="41"/>
  <c r="P39" i="41"/>
  <c r="J39" i="41"/>
  <c r="D39" i="41"/>
  <c r="C38" i="39"/>
  <c r="C38" i="38"/>
  <c r="C39" i="41" l="1"/>
  <c r="C154" i="7"/>
  <c r="C153" i="7"/>
  <c r="C152" i="7"/>
  <c r="C154" i="6"/>
  <c r="C153" i="6"/>
  <c r="C152" i="6"/>
  <c r="H154" i="3"/>
  <c r="H153" i="3"/>
  <c r="H155" i="3"/>
  <c r="P57" i="10" l="1"/>
  <c r="L57" i="10"/>
  <c r="F57" i="10"/>
  <c r="C57" i="10" l="1"/>
  <c r="E57" i="10"/>
  <c r="D57" i="10" s="1"/>
  <c r="I154" i="9" l="1"/>
  <c r="I153" i="9"/>
  <c r="I152" i="9"/>
  <c r="D151" i="9"/>
  <c r="D152" i="9"/>
  <c r="D153" i="9"/>
  <c r="D154" i="9"/>
  <c r="F154" i="8"/>
  <c r="C154" i="8" s="1"/>
  <c r="F153" i="8"/>
  <c r="C153" i="8" s="1"/>
  <c r="F152" i="8"/>
  <c r="C152" i="8" s="1"/>
  <c r="C154" i="9" l="1"/>
  <c r="C152" i="9"/>
  <c r="C153" i="9"/>
  <c r="G55" i="17"/>
  <c r="D55" i="17"/>
  <c r="G55" i="16"/>
  <c r="D55" i="16"/>
  <c r="G55" i="15"/>
  <c r="D55" i="15"/>
  <c r="C55" i="17" l="1"/>
  <c r="C55" i="16"/>
  <c r="C55" i="15"/>
  <c r="C37" i="42"/>
  <c r="P38" i="41" l="1"/>
  <c r="J38" i="41"/>
  <c r="D38" i="41"/>
  <c r="C38" i="41" l="1"/>
  <c r="C37" i="39"/>
  <c r="C37" i="38" l="1"/>
  <c r="G54" i="17" l="1"/>
  <c r="D54" i="17"/>
  <c r="G54" i="16"/>
  <c r="D54" i="16"/>
  <c r="C54" i="17" l="1"/>
  <c r="C54" i="16"/>
  <c r="G54" i="15" l="1"/>
  <c r="D54" i="15"/>
  <c r="C54" i="15" l="1"/>
  <c r="P56" i="10"/>
  <c r="L56" i="10"/>
  <c r="F56" i="10"/>
  <c r="I151" i="9"/>
  <c r="C151" i="9" s="1"/>
  <c r="I150" i="9"/>
  <c r="I149" i="9"/>
  <c r="D150" i="9"/>
  <c r="D149" i="9"/>
  <c r="C150" i="9" l="1"/>
  <c r="E56" i="10"/>
  <c r="D56" i="10" s="1"/>
  <c r="C56" i="10"/>
  <c r="C149" i="9"/>
  <c r="F151" i="8" l="1"/>
  <c r="C151" i="8" s="1"/>
  <c r="F150" i="8"/>
  <c r="C150" i="8" s="1"/>
  <c r="F149" i="8"/>
  <c r="C149" i="8" s="1"/>
  <c r="C151" i="7"/>
  <c r="C150" i="7"/>
  <c r="C149" i="7"/>
  <c r="C151" i="6" l="1"/>
  <c r="C150" i="6"/>
  <c r="C149" i="6"/>
  <c r="F152" i="3" l="1"/>
  <c r="H152" i="3" s="1"/>
  <c r="F151" i="3"/>
  <c r="H151" i="3" s="1"/>
  <c r="F150" i="3"/>
  <c r="H150" i="3" s="1"/>
  <c r="C163" i="2" l="1"/>
  <c r="G163" i="2" s="1"/>
  <c r="C162" i="2"/>
  <c r="G162" i="2" s="1"/>
  <c r="C161" i="2"/>
  <c r="G161" i="2" s="1"/>
  <c r="C36" i="42" l="1"/>
  <c r="V37" i="41"/>
  <c r="P37" i="41"/>
  <c r="J37" i="41" l="1"/>
  <c r="D37" i="41"/>
  <c r="C37" i="41" l="1"/>
  <c r="C36" i="39"/>
  <c r="C36" i="38"/>
  <c r="G53" i="17" l="1"/>
  <c r="D53" i="17"/>
  <c r="G53" i="16"/>
  <c r="D53" i="16"/>
  <c r="D53" i="15"/>
  <c r="G53" i="15"/>
  <c r="C53" i="17" l="1"/>
  <c r="C53" i="16"/>
  <c r="C53" i="15"/>
  <c r="P55" i="10" l="1"/>
  <c r="L55" i="10"/>
  <c r="F55" i="10"/>
  <c r="C55" i="10" l="1"/>
  <c r="E55" i="10"/>
  <c r="D55" i="10" s="1"/>
  <c r="D148" i="9" l="1"/>
  <c r="D147" i="9"/>
  <c r="D146" i="9"/>
  <c r="I148" i="9"/>
  <c r="I147" i="9"/>
  <c r="I146" i="9"/>
  <c r="C148" i="9" l="1"/>
  <c r="C147" i="9"/>
  <c r="C146" i="9"/>
  <c r="F148" i="8" l="1"/>
  <c r="C148" i="8" s="1"/>
  <c r="F147" i="8"/>
  <c r="C147" i="8" s="1"/>
  <c r="F146" i="8"/>
  <c r="C146" i="8" s="1"/>
  <c r="C148" i="7"/>
  <c r="C147" i="7"/>
  <c r="C146" i="7"/>
  <c r="C148" i="6"/>
  <c r="C147" i="6"/>
  <c r="C146" i="6"/>
  <c r="F147" i="3"/>
  <c r="H147" i="3" l="1"/>
  <c r="F149" i="3"/>
  <c r="H149" i="3" s="1"/>
  <c r="F148" i="3"/>
  <c r="H148" i="3" s="1"/>
  <c r="C160" i="2"/>
  <c r="G160" i="2" s="1"/>
  <c r="C159" i="2"/>
  <c r="G159" i="2" s="1"/>
  <c r="C158" i="2"/>
  <c r="G158" i="2" s="1"/>
  <c r="V36" i="41" l="1"/>
  <c r="P36" i="41"/>
  <c r="J36" i="41"/>
  <c r="D36" i="41"/>
  <c r="C35" i="42"/>
  <c r="C35" i="39"/>
  <c r="C35" i="38"/>
  <c r="C36" i="41" l="1"/>
  <c r="C145" i="6"/>
  <c r="C144" i="6"/>
  <c r="C143" i="6"/>
  <c r="G52" i="17"/>
  <c r="D52" i="17"/>
  <c r="G52" i="16"/>
  <c r="D52" i="16"/>
  <c r="G52" i="15"/>
  <c r="D52" i="15"/>
  <c r="C52" i="16" l="1"/>
  <c r="C52" i="17"/>
  <c r="C52" i="15"/>
  <c r="C52" i="11"/>
  <c r="P54" i="10" l="1"/>
  <c r="L54" i="10"/>
  <c r="F54" i="10"/>
  <c r="E54" i="10" l="1"/>
  <c r="D54" i="10" s="1"/>
  <c r="C54" i="10"/>
  <c r="I143" i="9"/>
  <c r="I145" i="9"/>
  <c r="I144" i="9"/>
  <c r="D145" i="9"/>
  <c r="D144" i="9"/>
  <c r="D143" i="9"/>
  <c r="C145" i="9" l="1"/>
  <c r="C143" i="9"/>
  <c r="C144" i="9"/>
  <c r="F145" i="8" l="1"/>
  <c r="C145" i="8" s="1"/>
  <c r="F144" i="8"/>
  <c r="C144" i="8" s="1"/>
  <c r="F143" i="8"/>
  <c r="C143" i="8" s="1"/>
  <c r="C145" i="7"/>
  <c r="C144" i="7"/>
  <c r="C143" i="7"/>
  <c r="F146" i="3" l="1"/>
  <c r="H146" i="3" s="1"/>
  <c r="F145" i="3"/>
  <c r="H145" i="3" s="1"/>
  <c r="F144" i="3"/>
  <c r="H144" i="3" s="1"/>
  <c r="C157" i="2" l="1"/>
  <c r="G157" i="2" s="1"/>
  <c r="C155" i="2"/>
  <c r="G155" i="2" s="1"/>
  <c r="C156" i="2"/>
  <c r="G156" i="2" s="1"/>
  <c r="C34" i="42" l="1"/>
  <c r="D35" i="41"/>
  <c r="V35" i="41"/>
  <c r="P35" i="41"/>
  <c r="J35" i="41"/>
  <c r="C35" i="41" l="1"/>
  <c r="C34" i="39"/>
  <c r="C34" i="38"/>
  <c r="C142" i="6" l="1"/>
  <c r="C141" i="6"/>
  <c r="C140" i="6"/>
  <c r="G51" i="17"/>
  <c r="D51" i="17"/>
  <c r="G51" i="16"/>
  <c r="D51" i="16"/>
  <c r="G51" i="15"/>
  <c r="D51" i="15"/>
  <c r="C51" i="11"/>
  <c r="P53" i="10"/>
  <c r="L53" i="10"/>
  <c r="F53" i="10"/>
  <c r="I142" i="9"/>
  <c r="I141" i="9"/>
  <c r="I140" i="9"/>
  <c r="D142" i="9"/>
  <c r="D141" i="9"/>
  <c r="D140" i="9"/>
  <c r="F142" i="8"/>
  <c r="C142" i="8" s="1"/>
  <c r="F141" i="8"/>
  <c r="C141" i="8" s="1"/>
  <c r="F140" i="8"/>
  <c r="C140" i="8" s="1"/>
  <c r="C142" i="7"/>
  <c r="C141" i="7"/>
  <c r="C140" i="7"/>
  <c r="F143" i="3"/>
  <c r="H143" i="3" s="1"/>
  <c r="F142" i="3"/>
  <c r="H142" i="3" s="1"/>
  <c r="F141" i="3"/>
  <c r="H141" i="3" s="1"/>
  <c r="C154" i="2"/>
  <c r="C153" i="2"/>
  <c r="C152" i="2"/>
  <c r="G152" i="2" l="1"/>
  <c r="G153" i="2"/>
  <c r="G154" i="2"/>
  <c r="C51" i="17"/>
  <c r="E53" i="10"/>
  <c r="D53" i="10" s="1"/>
  <c r="C140" i="9"/>
  <c r="C141" i="9"/>
  <c r="C142" i="9"/>
  <c r="C51" i="16"/>
  <c r="C51" i="15"/>
  <c r="C53" i="10"/>
  <c r="C33" i="42"/>
  <c r="V34" i="41"/>
  <c r="P34" i="41"/>
  <c r="J34" i="41"/>
  <c r="D34" i="41"/>
  <c r="C33" i="39"/>
  <c r="C33" i="38"/>
  <c r="C34" i="41" l="1"/>
  <c r="C151" i="2"/>
  <c r="G151" i="2" s="1"/>
  <c r="C150" i="2"/>
  <c r="G150" i="2" s="1"/>
  <c r="C149" i="2"/>
  <c r="G149" i="2" s="1"/>
  <c r="G50" i="17" l="1"/>
  <c r="D50" i="17"/>
  <c r="G50" i="16"/>
  <c r="D50" i="16"/>
  <c r="C50" i="17" l="1"/>
  <c r="C50" i="16"/>
  <c r="G50" i="15" l="1"/>
  <c r="D50" i="15"/>
  <c r="C50" i="11"/>
  <c r="C50" i="15" l="1"/>
  <c r="P52" i="10"/>
  <c r="L52" i="10"/>
  <c r="F52" i="10"/>
  <c r="D139" i="9"/>
  <c r="D138" i="9"/>
  <c r="D137" i="9"/>
  <c r="I139" i="9"/>
  <c r="I138" i="9"/>
  <c r="I137" i="9"/>
  <c r="F137" i="8"/>
  <c r="C137" i="8" s="1"/>
  <c r="F139" i="8"/>
  <c r="C139" i="8" s="1"/>
  <c r="F138" i="8"/>
  <c r="C138" i="8" s="1"/>
  <c r="C139" i="9" l="1"/>
  <c r="E52" i="10"/>
  <c r="D52" i="10" s="1"/>
  <c r="C52" i="10"/>
  <c r="C138" i="9"/>
  <c r="C137" i="9"/>
  <c r="C139" i="7"/>
  <c r="C138" i="7"/>
  <c r="C137" i="7"/>
  <c r="C139" i="6"/>
  <c r="C138" i="6"/>
  <c r="C137" i="6"/>
  <c r="F140" i="3"/>
  <c r="H140" i="3" s="1"/>
  <c r="F139" i="3"/>
  <c r="H139" i="3" s="1"/>
  <c r="F138" i="3"/>
  <c r="H138" i="3" s="1"/>
  <c r="C32" i="42" l="1"/>
  <c r="V33" i="41"/>
  <c r="P33" i="41"/>
  <c r="J33" i="41"/>
  <c r="D33" i="41"/>
  <c r="C33" i="41" l="1"/>
  <c r="C32" i="39"/>
  <c r="C32" i="38"/>
  <c r="V32" i="41" l="1"/>
  <c r="D49" i="17" l="1"/>
  <c r="G49" i="17"/>
  <c r="G49" i="16"/>
  <c r="D49" i="16"/>
  <c r="D49" i="15"/>
  <c r="G49" i="15"/>
  <c r="C49" i="17" l="1"/>
  <c r="C49" i="16"/>
  <c r="C49" i="15"/>
  <c r="C49" i="11" l="1"/>
  <c r="P51" i="10"/>
  <c r="L51" i="10"/>
  <c r="F51" i="10"/>
  <c r="C51" i="10" l="1"/>
  <c r="E51" i="10"/>
  <c r="D51" i="10" s="1"/>
  <c r="D136" i="9" l="1"/>
  <c r="D135" i="9"/>
  <c r="D134" i="9"/>
  <c r="I136" i="9"/>
  <c r="I135" i="9"/>
  <c r="I134" i="9"/>
  <c r="F136" i="8"/>
  <c r="C136" i="8" s="1"/>
  <c r="F135" i="8"/>
  <c r="C135" i="8" s="1"/>
  <c r="F134" i="8"/>
  <c r="C134" i="8" s="1"/>
  <c r="C136" i="7"/>
  <c r="C135" i="7"/>
  <c r="C134" i="7"/>
  <c r="C136" i="6"/>
  <c r="C135" i="6"/>
  <c r="C134" i="6"/>
  <c r="F137" i="3"/>
  <c r="H137" i="3" s="1"/>
  <c r="F136" i="3"/>
  <c r="H136" i="3" s="1"/>
  <c r="F135" i="3"/>
  <c r="H135" i="3" s="1"/>
  <c r="C148" i="2"/>
  <c r="G148" i="2" s="1"/>
  <c r="C147" i="2"/>
  <c r="G147" i="2" s="1"/>
  <c r="C146" i="2"/>
  <c r="G146" i="2" s="1"/>
  <c r="C135" i="9" l="1"/>
  <c r="C136" i="9"/>
  <c r="C134" i="9"/>
  <c r="C31" i="42" l="1"/>
  <c r="P32" i="41"/>
  <c r="J32" i="41"/>
  <c r="D32" i="41"/>
  <c r="C32" i="41" l="1"/>
  <c r="C31" i="39"/>
  <c r="C31" i="38"/>
  <c r="G48" i="17" l="1"/>
  <c r="D48" i="17"/>
  <c r="G48" i="16"/>
  <c r="D48" i="16"/>
  <c r="G48" i="15"/>
  <c r="D48" i="15"/>
  <c r="C48" i="17" l="1"/>
  <c r="C48" i="16"/>
  <c r="C48" i="15"/>
  <c r="C48" i="11" l="1"/>
  <c r="P50" i="10" l="1"/>
  <c r="L50" i="10"/>
  <c r="F50" i="10"/>
  <c r="I133" i="9"/>
  <c r="I132" i="9"/>
  <c r="I131" i="9"/>
  <c r="D133" i="9"/>
  <c r="D132" i="9"/>
  <c r="D131" i="9"/>
  <c r="F133" i="8"/>
  <c r="C133" i="8" s="1"/>
  <c r="F132" i="8"/>
  <c r="C132" i="8" s="1"/>
  <c r="F131" i="8"/>
  <c r="C131" i="8" s="1"/>
  <c r="E50" i="10" l="1"/>
  <c r="D50" i="10" s="1"/>
  <c r="C50" i="10"/>
  <c r="C132" i="9"/>
  <c r="C131" i="9"/>
  <c r="C133" i="9"/>
  <c r="C145" i="2" l="1"/>
  <c r="G145" i="2" s="1"/>
  <c r="C144" i="2"/>
  <c r="G144" i="2" s="1"/>
  <c r="C143" i="2"/>
  <c r="G143" i="2" s="1"/>
  <c r="C133" i="7" l="1"/>
  <c r="C132" i="7"/>
  <c r="C131" i="7"/>
  <c r="C133" i="6"/>
  <c r="C132" i="6"/>
  <c r="C131" i="6"/>
  <c r="F134" i="3"/>
  <c r="H134" i="3" s="1"/>
  <c r="F133" i="3"/>
  <c r="H133" i="3" s="1"/>
  <c r="F132" i="3"/>
  <c r="H132" i="3" s="1"/>
  <c r="C30" i="42" l="1"/>
  <c r="D31" i="41"/>
  <c r="V31" i="41"/>
  <c r="P31" i="41"/>
  <c r="J31" i="41"/>
  <c r="C31" i="41" l="1"/>
  <c r="C30" i="39"/>
  <c r="C30" i="38"/>
  <c r="F129" i="3" l="1"/>
  <c r="G47" i="17" l="1"/>
  <c r="D47" i="17"/>
  <c r="G47" i="16"/>
  <c r="D47" i="16"/>
  <c r="G47" i="15"/>
  <c r="D47" i="15"/>
  <c r="C47" i="17" l="1"/>
  <c r="C47" i="16"/>
  <c r="C47" i="15"/>
  <c r="C47" i="11" l="1"/>
  <c r="P49" i="10"/>
  <c r="L49" i="10"/>
  <c r="F49" i="10"/>
  <c r="D130" i="9"/>
  <c r="D129" i="9"/>
  <c r="D128" i="9"/>
  <c r="I130" i="9"/>
  <c r="I129" i="9"/>
  <c r="I128" i="9"/>
  <c r="E49" i="10" l="1"/>
  <c r="D49" i="10" s="1"/>
  <c r="C49" i="10"/>
  <c r="C128" i="9"/>
  <c r="C129" i="9"/>
  <c r="C130" i="9"/>
  <c r="F130" i="8" l="1"/>
  <c r="C130" i="8" s="1"/>
  <c r="F129" i="8"/>
  <c r="C129" i="8" s="1"/>
  <c r="F128" i="8"/>
  <c r="C128" i="8" s="1"/>
  <c r="C130" i="7" l="1"/>
  <c r="C129" i="7"/>
  <c r="C128" i="7"/>
  <c r="C130" i="6" l="1"/>
  <c r="C129" i="6"/>
  <c r="C128" i="6"/>
  <c r="F131" i="3" l="1"/>
  <c r="H131" i="3" s="1"/>
  <c r="F130" i="3"/>
  <c r="H130" i="3" s="1"/>
  <c r="H129" i="3"/>
  <c r="C142" i="2"/>
  <c r="G142" i="2" s="1"/>
  <c r="C141" i="2"/>
  <c r="G141" i="2" s="1"/>
  <c r="C140" i="2"/>
  <c r="G140" i="2" s="1"/>
  <c r="C29" i="42" l="1"/>
  <c r="V30" i="41" l="1"/>
  <c r="P30" i="41"/>
  <c r="J30" i="41"/>
  <c r="D30" i="41"/>
  <c r="C30" i="41" l="1"/>
  <c r="C29" i="39"/>
  <c r="C29" i="38"/>
  <c r="I125" i="9" l="1"/>
  <c r="G46" i="17" l="1"/>
  <c r="D46" i="17"/>
  <c r="C46" i="17" l="1"/>
  <c r="G46" i="15"/>
  <c r="D46" i="15"/>
  <c r="C46" i="15" l="1"/>
  <c r="G46" i="16"/>
  <c r="D46" i="16"/>
  <c r="C46" i="16" l="1"/>
  <c r="C45" i="11"/>
  <c r="P48" i="10"/>
  <c r="L48" i="10"/>
  <c r="F48" i="10"/>
  <c r="I127" i="9"/>
  <c r="I126" i="9"/>
  <c r="D127" i="9"/>
  <c r="D126" i="9"/>
  <c r="D125" i="9"/>
  <c r="C125" i="9" s="1"/>
  <c r="F127" i="8"/>
  <c r="C127" i="8" s="1"/>
  <c r="F126" i="8"/>
  <c r="C126" i="8" s="1"/>
  <c r="F125" i="8"/>
  <c r="C125" i="8" s="1"/>
  <c r="C127" i="7"/>
  <c r="C126" i="7"/>
  <c r="C125" i="7"/>
  <c r="C127" i="6"/>
  <c r="C126" i="6"/>
  <c r="C125" i="6"/>
  <c r="F128" i="3"/>
  <c r="H128" i="3" s="1"/>
  <c r="F127" i="3"/>
  <c r="H127" i="3" s="1"/>
  <c r="F126" i="3"/>
  <c r="H126" i="3" s="1"/>
  <c r="C139" i="2"/>
  <c r="G139" i="2" s="1"/>
  <c r="C138" i="2"/>
  <c r="G138" i="2" s="1"/>
  <c r="C137" i="2"/>
  <c r="G137" i="2" s="1"/>
  <c r="C126" i="9" l="1"/>
  <c r="E48" i="10"/>
  <c r="D48" i="10" s="1"/>
  <c r="C48" i="10"/>
  <c r="C127" i="9"/>
  <c r="C28" i="42"/>
  <c r="V29" i="41"/>
  <c r="P29" i="41"/>
  <c r="J29" i="41"/>
  <c r="D29" i="41"/>
  <c r="C29" i="41" l="1"/>
  <c r="C28" i="39"/>
  <c r="C28" i="38"/>
  <c r="D124" i="9" l="1"/>
  <c r="D123" i="9"/>
  <c r="D122" i="9"/>
  <c r="G45" i="17" l="1"/>
  <c r="D45" i="17"/>
  <c r="G45" i="16"/>
  <c r="D45" i="16"/>
  <c r="G45" i="15"/>
  <c r="D45" i="15"/>
  <c r="C44" i="11"/>
  <c r="P47" i="10"/>
  <c r="L47" i="10"/>
  <c r="F47" i="10"/>
  <c r="I124" i="9"/>
  <c r="C124" i="9" s="1"/>
  <c r="I123" i="9"/>
  <c r="C123" i="9" s="1"/>
  <c r="I122" i="9"/>
  <c r="C122" i="9" s="1"/>
  <c r="F124" i="8"/>
  <c r="C124" i="8" s="1"/>
  <c r="F123" i="8"/>
  <c r="C123" i="8" s="1"/>
  <c r="F122" i="8"/>
  <c r="C122" i="8" s="1"/>
  <c r="C124" i="7"/>
  <c r="C123" i="7"/>
  <c r="C122" i="7"/>
  <c r="C124" i="6"/>
  <c r="C123" i="6"/>
  <c r="C122" i="6"/>
  <c r="F125" i="3"/>
  <c r="H125" i="3" s="1"/>
  <c r="F124" i="3"/>
  <c r="H124" i="3" s="1"/>
  <c r="F123" i="3"/>
  <c r="H123" i="3" s="1"/>
  <c r="C136" i="2"/>
  <c r="G136" i="2" s="1"/>
  <c r="C135" i="2"/>
  <c r="G135" i="2" s="1"/>
  <c r="C134" i="2"/>
  <c r="G134" i="2" l="1"/>
  <c r="C47" i="10"/>
  <c r="C45" i="16"/>
  <c r="C45" i="17"/>
  <c r="C45" i="15"/>
  <c r="E47" i="10"/>
  <c r="D47" i="10" s="1"/>
  <c r="C27" i="42"/>
  <c r="V28" i="41"/>
  <c r="P28" i="41"/>
  <c r="J28" i="41"/>
  <c r="D28" i="41"/>
  <c r="C27" i="39"/>
  <c r="C27" i="38"/>
  <c r="C28" i="41" l="1"/>
  <c r="D44" i="15" l="1"/>
  <c r="F119" i="8" l="1"/>
  <c r="C133" i="2" l="1"/>
  <c r="G133" i="2" s="1"/>
  <c r="C132" i="2"/>
  <c r="G132" i="2" s="1"/>
  <c r="C131" i="2"/>
  <c r="G131" i="2" s="1"/>
  <c r="G44" i="17"/>
  <c r="D44" i="17"/>
  <c r="G44" i="16"/>
  <c r="D44" i="16"/>
  <c r="C44" i="17" l="1"/>
  <c r="C44" i="16"/>
  <c r="G44" i="15"/>
  <c r="C44" i="15" s="1"/>
  <c r="P46" i="10"/>
  <c r="L46" i="10"/>
  <c r="F46" i="10"/>
  <c r="I121" i="9"/>
  <c r="I120" i="9"/>
  <c r="I119" i="9"/>
  <c r="D121" i="9"/>
  <c r="D120" i="9"/>
  <c r="D119" i="9"/>
  <c r="F121" i="8"/>
  <c r="C121" i="8" s="1"/>
  <c r="F120" i="8"/>
  <c r="C120" i="8" s="1"/>
  <c r="C119" i="8"/>
  <c r="C121" i="7"/>
  <c r="C120" i="7"/>
  <c r="C119" i="7"/>
  <c r="C121" i="6"/>
  <c r="C120" i="6"/>
  <c r="C119" i="6"/>
  <c r="F122" i="3"/>
  <c r="H122" i="3" s="1"/>
  <c r="F121" i="3"/>
  <c r="H121" i="3" s="1"/>
  <c r="F120" i="3"/>
  <c r="H120" i="3" s="1"/>
  <c r="C120" i="9" l="1"/>
  <c r="C119" i="9"/>
  <c r="C121" i="9"/>
  <c r="E46" i="10"/>
  <c r="D46" i="10" s="1"/>
  <c r="C46" i="10"/>
  <c r="C43" i="11"/>
  <c r="C26" i="38" l="1"/>
  <c r="C26" i="42" l="1"/>
  <c r="V27" i="41"/>
  <c r="P27" i="41"/>
  <c r="J27" i="41"/>
  <c r="D27" i="41"/>
  <c r="C27" i="41" l="1"/>
  <c r="C26" i="39"/>
  <c r="D43" i="17" l="1"/>
  <c r="C43" i="17" s="1"/>
  <c r="G43" i="16"/>
  <c r="D43" i="16"/>
  <c r="C43" i="16" l="1"/>
  <c r="G43" i="15" l="1"/>
  <c r="D43" i="15"/>
  <c r="C42" i="11"/>
  <c r="P45" i="10"/>
  <c r="L45" i="10"/>
  <c r="F45" i="10"/>
  <c r="I118" i="9"/>
  <c r="I117" i="9"/>
  <c r="I116" i="9"/>
  <c r="D118" i="9"/>
  <c r="D117" i="9"/>
  <c r="D116" i="9"/>
  <c r="F118" i="8"/>
  <c r="C118" i="8" s="1"/>
  <c r="F117" i="8"/>
  <c r="C117" i="8" s="1"/>
  <c r="F116" i="8"/>
  <c r="C116" i="8" s="1"/>
  <c r="C118" i="7"/>
  <c r="C118" i="6"/>
  <c r="F119" i="3"/>
  <c r="H119" i="3" s="1"/>
  <c r="F118" i="3"/>
  <c r="H118" i="3" s="1"/>
  <c r="F117" i="3"/>
  <c r="H117" i="3" s="1"/>
  <c r="C130" i="2"/>
  <c r="G130" i="2" s="1"/>
  <c r="C129" i="2"/>
  <c r="G129" i="2" s="1"/>
  <c r="C128" i="2"/>
  <c r="G128" i="2" s="1"/>
  <c r="C43" i="15" l="1"/>
  <c r="C45" i="10"/>
  <c r="E45" i="10"/>
  <c r="D45" i="10" s="1"/>
  <c r="C116" i="9"/>
  <c r="C117" i="9"/>
  <c r="C118" i="9"/>
  <c r="C117" i="6"/>
  <c r="C117" i="7" l="1"/>
  <c r="C116" i="7"/>
  <c r="C116" i="6"/>
  <c r="C25" i="42" l="1"/>
  <c r="V26" i="41"/>
  <c r="P26" i="41"/>
  <c r="J26" i="41"/>
  <c r="D26" i="41"/>
  <c r="C25" i="39"/>
  <c r="C25" i="38"/>
  <c r="C26" i="41" l="1"/>
  <c r="C18" i="38" l="1"/>
  <c r="F116" i="3" l="1"/>
  <c r="H116" i="3" s="1"/>
  <c r="F115" i="3"/>
  <c r="H115" i="3" s="1"/>
  <c r="F114" i="3"/>
  <c r="H114" i="3" s="1"/>
  <c r="C115" i="7" l="1"/>
  <c r="C114" i="7"/>
  <c r="C113" i="7"/>
  <c r="C115" i="6"/>
  <c r="C114" i="6"/>
  <c r="C113" i="6"/>
  <c r="C127" i="2" l="1"/>
  <c r="G127" i="2" s="1"/>
  <c r="C126" i="2"/>
  <c r="G126" i="2" s="1"/>
  <c r="C125" i="2"/>
  <c r="G125" i="2" s="1"/>
  <c r="G42" i="17"/>
  <c r="D42" i="17"/>
  <c r="G42" i="16"/>
  <c r="D42" i="16"/>
  <c r="G42" i="15"/>
  <c r="D42" i="15"/>
  <c r="C42" i="17" l="1"/>
  <c r="C42" i="16"/>
  <c r="C42" i="15"/>
  <c r="C41" i="11" l="1"/>
  <c r="P44" i="10"/>
  <c r="L44" i="10"/>
  <c r="F44" i="10"/>
  <c r="I115" i="9"/>
  <c r="I114" i="9"/>
  <c r="I113" i="9"/>
  <c r="D115" i="9"/>
  <c r="D114" i="9"/>
  <c r="D113" i="9"/>
  <c r="F115" i="8"/>
  <c r="C115" i="8" s="1"/>
  <c r="F114" i="8"/>
  <c r="C114" i="8" s="1"/>
  <c r="F113" i="8"/>
  <c r="C113" i="8" s="1"/>
  <c r="C115" i="9" l="1"/>
  <c r="C113" i="9"/>
  <c r="C114" i="9"/>
  <c r="E44" i="10"/>
  <c r="D44" i="10" s="1"/>
  <c r="C44" i="10"/>
  <c r="C24" i="42" l="1"/>
  <c r="C23" i="42"/>
  <c r="V25" i="41"/>
  <c r="P25" i="41"/>
  <c r="J25" i="41"/>
  <c r="D25" i="41"/>
  <c r="V24" i="41"/>
  <c r="P24" i="41"/>
  <c r="J24" i="41"/>
  <c r="D24" i="41"/>
  <c r="C24" i="39"/>
  <c r="C23" i="39"/>
  <c r="C24" i="38"/>
  <c r="C23" i="38"/>
  <c r="C24" i="41" l="1"/>
  <c r="C25" i="41"/>
  <c r="G41" i="17"/>
  <c r="D41" i="17"/>
  <c r="D41" i="16"/>
  <c r="G41" i="16"/>
  <c r="G41" i="15"/>
  <c r="D41" i="15"/>
  <c r="C41" i="17" l="1"/>
  <c r="C41" i="16"/>
  <c r="C41" i="15" l="1"/>
  <c r="P43" i="10" l="1"/>
  <c r="L43" i="10"/>
  <c r="F43" i="10"/>
  <c r="E43" i="10" l="1"/>
  <c r="D43" i="10" s="1"/>
  <c r="C43" i="10"/>
  <c r="I110" i="9" l="1"/>
  <c r="I111" i="9"/>
  <c r="I112" i="9"/>
  <c r="D110" i="9" l="1"/>
  <c r="C110" i="9" s="1"/>
  <c r="D111" i="9"/>
  <c r="C111" i="9" s="1"/>
  <c r="D112" i="9"/>
  <c r="C112" i="9" s="1"/>
  <c r="F110" i="8" l="1"/>
  <c r="C110" i="8" s="1"/>
  <c r="F111" i="8"/>
  <c r="C111" i="8" s="1"/>
  <c r="F112" i="8"/>
  <c r="C112" i="8" s="1"/>
  <c r="F113" i="3" l="1"/>
  <c r="H113" i="3" s="1"/>
  <c r="F112" i="3"/>
  <c r="H112" i="3" s="1"/>
  <c r="F111" i="3"/>
  <c r="H111" i="3" s="1"/>
  <c r="F110" i="3"/>
  <c r="H110" i="3" s="1"/>
  <c r="F109" i="3"/>
  <c r="H109" i="3" s="1"/>
  <c r="F108" i="3"/>
  <c r="H108" i="3" s="1"/>
  <c r="F107" i="3"/>
  <c r="H107" i="3" s="1"/>
  <c r="F106" i="3"/>
  <c r="H106" i="3" s="1"/>
  <c r="F105" i="3"/>
  <c r="H105" i="3" s="1"/>
  <c r="F104" i="3"/>
  <c r="H104" i="3" s="1"/>
  <c r="F103" i="3"/>
  <c r="H103" i="3" s="1"/>
  <c r="F102" i="3"/>
  <c r="H102" i="3" s="1"/>
  <c r="F101" i="3"/>
  <c r="H101" i="3" s="1"/>
  <c r="F100" i="3"/>
  <c r="H100" i="3" s="1"/>
  <c r="F99" i="3"/>
  <c r="H99" i="3" s="1"/>
  <c r="F98" i="3"/>
  <c r="H98" i="3" s="1"/>
  <c r="F97" i="3"/>
  <c r="H97" i="3" s="1"/>
  <c r="F96" i="3"/>
  <c r="H96" i="3" s="1"/>
  <c r="F95" i="3"/>
  <c r="H95" i="3" s="1"/>
  <c r="F94" i="3"/>
  <c r="H94" i="3" s="1"/>
  <c r="F93" i="3"/>
  <c r="H93" i="3" s="1"/>
  <c r="F92" i="3"/>
  <c r="H92" i="3" s="1"/>
  <c r="F91" i="3"/>
  <c r="H91" i="3" s="1"/>
  <c r="F90" i="3"/>
  <c r="H90" i="3" s="1"/>
  <c r="F89" i="3"/>
  <c r="H89" i="3" s="1"/>
  <c r="F88" i="3"/>
  <c r="H88" i="3" s="1"/>
  <c r="F87" i="3"/>
  <c r="H87" i="3" s="1"/>
  <c r="F86" i="3"/>
  <c r="H86" i="3" s="1"/>
  <c r="F85" i="3"/>
  <c r="H85" i="3" s="1"/>
  <c r="F84" i="3"/>
  <c r="H84" i="3" s="1"/>
  <c r="F83" i="3"/>
  <c r="H83" i="3" s="1"/>
  <c r="F82" i="3"/>
  <c r="H82" i="3" s="1"/>
  <c r="F81" i="3"/>
  <c r="H81" i="3" s="1"/>
  <c r="F80" i="3"/>
  <c r="H80" i="3" s="1"/>
  <c r="F79" i="3"/>
  <c r="H79" i="3" s="1"/>
  <c r="F78" i="3"/>
  <c r="H78" i="3" s="1"/>
  <c r="F77" i="3"/>
  <c r="H77" i="3" s="1"/>
  <c r="F76" i="3"/>
  <c r="H76" i="3" s="1"/>
  <c r="F75" i="3"/>
  <c r="H75" i="3" s="1"/>
  <c r="F74" i="3"/>
  <c r="H74" i="3" s="1"/>
  <c r="F73" i="3"/>
  <c r="H73" i="3" s="1"/>
  <c r="F72" i="3"/>
  <c r="H72" i="3" s="1"/>
  <c r="F71" i="3"/>
  <c r="H71" i="3" s="1"/>
  <c r="F70" i="3"/>
  <c r="H70" i="3" s="1"/>
  <c r="F69" i="3"/>
  <c r="H69" i="3" s="1"/>
  <c r="F68" i="3"/>
  <c r="H68" i="3" s="1"/>
  <c r="F67" i="3"/>
  <c r="H67" i="3" s="1"/>
  <c r="F66" i="3"/>
  <c r="H66" i="3" s="1"/>
  <c r="F65" i="3"/>
  <c r="H65" i="3" s="1"/>
  <c r="F64" i="3"/>
  <c r="H64" i="3" s="1"/>
  <c r="F63" i="3"/>
  <c r="H63" i="3" s="1"/>
  <c r="F62" i="3"/>
  <c r="H62" i="3" s="1"/>
  <c r="F61" i="3"/>
  <c r="H61" i="3" s="1"/>
  <c r="F60" i="3"/>
  <c r="H60" i="3" s="1"/>
  <c r="F59" i="3"/>
  <c r="H59" i="3" s="1"/>
  <c r="F58" i="3"/>
  <c r="H58" i="3" s="1"/>
  <c r="F57" i="3"/>
  <c r="H57" i="3" s="1"/>
  <c r="F56" i="3"/>
  <c r="H56" i="3" s="1"/>
  <c r="F55" i="3"/>
  <c r="H55" i="3" s="1"/>
  <c r="F54" i="3"/>
  <c r="H54" i="3" s="1"/>
  <c r="F53" i="3"/>
  <c r="H53" i="3" s="1"/>
  <c r="F52" i="3"/>
  <c r="H52" i="3" s="1"/>
  <c r="F51" i="3"/>
  <c r="H51" i="3" s="1"/>
  <c r="F50" i="3"/>
  <c r="H50" i="3" s="1"/>
  <c r="F49" i="3"/>
  <c r="H49" i="3" s="1"/>
  <c r="F48" i="3"/>
  <c r="H48" i="3" s="1"/>
  <c r="F47" i="3"/>
  <c r="H47" i="3" s="1"/>
  <c r="F46" i="3"/>
  <c r="H46" i="3" s="1"/>
  <c r="F45" i="3"/>
  <c r="H45" i="3" s="1"/>
  <c r="F44" i="3"/>
  <c r="H44" i="3" s="1"/>
  <c r="F43" i="3"/>
  <c r="H43" i="3" s="1"/>
  <c r="F42" i="3"/>
  <c r="H42" i="3" s="1"/>
  <c r="F41" i="3"/>
  <c r="H41" i="3" s="1"/>
  <c r="F40" i="3"/>
  <c r="H40" i="3" s="1"/>
  <c r="F39" i="3"/>
  <c r="H39" i="3" s="1"/>
  <c r="F38" i="3"/>
  <c r="H38" i="3" s="1"/>
  <c r="F37" i="3"/>
  <c r="H37" i="3" s="1"/>
  <c r="F36" i="3"/>
  <c r="H36" i="3" s="1"/>
  <c r="F35" i="3"/>
  <c r="H35" i="3" s="1"/>
  <c r="F34" i="3"/>
  <c r="H34" i="3" s="1"/>
  <c r="F33" i="3"/>
  <c r="H33" i="3" s="1"/>
  <c r="F32" i="3"/>
  <c r="H32" i="3" s="1"/>
  <c r="F31" i="3"/>
  <c r="H31" i="3" s="1"/>
  <c r="F30" i="3"/>
  <c r="H30" i="3" s="1"/>
  <c r="F29" i="3"/>
  <c r="H29" i="3" s="1"/>
  <c r="F28" i="3"/>
  <c r="H28" i="3" s="1"/>
  <c r="F27" i="3"/>
  <c r="H27" i="3" s="1"/>
  <c r="F26" i="3"/>
  <c r="H26" i="3" s="1"/>
  <c r="F25" i="3"/>
  <c r="H25" i="3" s="1"/>
  <c r="F24" i="3"/>
  <c r="H24" i="3" s="1"/>
  <c r="F23" i="3"/>
  <c r="H23" i="3" s="1"/>
  <c r="F22" i="3"/>
  <c r="H22" i="3" s="1"/>
  <c r="F21" i="3"/>
  <c r="H21" i="3" s="1"/>
  <c r="F20" i="3"/>
  <c r="H20" i="3" s="1"/>
  <c r="F19" i="3"/>
  <c r="H19" i="3" s="1"/>
  <c r="F18" i="3"/>
  <c r="H18" i="3" s="1"/>
  <c r="F17" i="3"/>
  <c r="H17" i="3" s="1"/>
  <c r="F16" i="3"/>
  <c r="H16" i="3" s="1"/>
  <c r="F15" i="3"/>
  <c r="H15" i="3" s="1"/>
  <c r="F14" i="3"/>
  <c r="H14" i="3" s="1"/>
  <c r="F13" i="3"/>
  <c r="H13" i="3" s="1"/>
  <c r="F12" i="3"/>
  <c r="H12" i="3" s="1"/>
  <c r="F11" i="3"/>
  <c r="H11" i="3" s="1"/>
  <c r="F10" i="3"/>
  <c r="H10" i="3" s="1"/>
  <c r="F9" i="3"/>
  <c r="H9" i="3" s="1"/>
  <c r="F8" i="3"/>
  <c r="H8" i="3" s="1"/>
  <c r="F7" i="3"/>
  <c r="H7" i="3" s="1"/>
  <c r="F6" i="3"/>
  <c r="H6" i="3" s="1"/>
  <c r="C124" i="2"/>
  <c r="C120" i="2"/>
  <c r="G120" i="2" s="1"/>
  <c r="C118" i="2"/>
  <c r="G118" i="2" s="1"/>
  <c r="C116" i="2"/>
  <c r="G116" i="2" s="1"/>
  <c r="C115" i="2"/>
  <c r="G115" i="2" s="1"/>
  <c r="C113" i="2"/>
  <c r="G113" i="2" s="1"/>
  <c r="C99" i="2"/>
  <c r="G99" i="2" s="1"/>
  <c r="C97" i="2"/>
  <c r="G97" i="2" s="1"/>
  <c r="C94" i="2"/>
  <c r="G94" i="2" s="1"/>
  <c r="C16" i="2"/>
  <c r="G16" i="2" s="1"/>
  <c r="C15" i="2"/>
  <c r="G15" i="2" s="1"/>
  <c r="C14" i="2"/>
  <c r="G14" i="2" s="1"/>
  <c r="C13" i="2"/>
  <c r="G13" i="2" s="1"/>
  <c r="C12" i="2"/>
  <c r="G12" i="2" s="1"/>
  <c r="C11" i="2"/>
  <c r="G11" i="2" s="1"/>
  <c r="C10" i="2"/>
  <c r="G10" i="2" s="1"/>
  <c r="C9" i="2"/>
  <c r="G9" i="2" s="1"/>
  <c r="C8" i="2"/>
  <c r="G8" i="2" s="1"/>
  <c r="C7" i="2"/>
  <c r="G7" i="2" s="1"/>
  <c r="C6" i="2"/>
  <c r="G6" i="2" s="1"/>
  <c r="C5" i="2"/>
  <c r="G5" i="2" s="1"/>
  <c r="C122" i="2" l="1"/>
  <c r="G122" i="2" s="1"/>
  <c r="C105" i="2"/>
  <c r="G105" i="2" s="1"/>
  <c r="C107" i="2"/>
  <c r="G107" i="2" s="1"/>
  <c r="C64" i="2"/>
  <c r="G64" i="2" s="1"/>
  <c r="C66" i="2"/>
  <c r="G66" i="2" s="1"/>
  <c r="C72" i="2"/>
  <c r="G72" i="2" s="1"/>
  <c r="C74" i="2"/>
  <c r="G74" i="2" s="1"/>
  <c r="C80" i="2"/>
  <c r="G80" i="2" s="1"/>
  <c r="C82" i="2"/>
  <c r="G82" i="2" s="1"/>
  <c r="C88" i="2"/>
  <c r="G88" i="2" s="1"/>
  <c r="C90" i="2"/>
  <c r="G90" i="2" s="1"/>
  <c r="C101" i="2"/>
  <c r="G101" i="2" s="1"/>
  <c r="C103" i="2"/>
  <c r="G103" i="2" s="1"/>
  <c r="C109" i="2"/>
  <c r="G109" i="2" s="1"/>
  <c r="C111" i="2"/>
  <c r="G111" i="2" s="1"/>
  <c r="C17" i="2"/>
  <c r="G17" i="2" s="1"/>
  <c r="C19" i="2"/>
  <c r="G19" i="2" s="1"/>
  <c r="C21" i="2"/>
  <c r="G21" i="2" s="1"/>
  <c r="C23" i="2"/>
  <c r="G23" i="2" s="1"/>
  <c r="C25" i="2"/>
  <c r="G25" i="2" s="1"/>
  <c r="C27" i="2"/>
  <c r="G27" i="2" s="1"/>
  <c r="C29" i="2"/>
  <c r="G29" i="2" s="1"/>
  <c r="C31" i="2"/>
  <c r="G31" i="2" s="1"/>
  <c r="C33" i="2"/>
  <c r="G33" i="2" s="1"/>
  <c r="C35" i="2"/>
  <c r="G35" i="2" s="1"/>
  <c r="C37" i="2"/>
  <c r="G37" i="2" s="1"/>
  <c r="C41" i="2"/>
  <c r="G41" i="2" s="1"/>
  <c r="C45" i="2"/>
  <c r="G45" i="2" s="1"/>
  <c r="C49" i="2"/>
  <c r="G49" i="2" s="1"/>
  <c r="C53" i="2"/>
  <c r="G53" i="2" s="1"/>
  <c r="C57" i="2"/>
  <c r="G57" i="2" s="1"/>
  <c r="C61" i="2"/>
  <c r="G61" i="2" s="1"/>
  <c r="C67" i="2"/>
  <c r="G67" i="2" s="1"/>
  <c r="C69" i="2"/>
  <c r="G69" i="2" s="1"/>
  <c r="C75" i="2"/>
  <c r="G75" i="2" s="1"/>
  <c r="C77" i="2"/>
  <c r="G77" i="2" s="1"/>
  <c r="C83" i="2"/>
  <c r="G83" i="2" s="1"/>
  <c r="C85" i="2"/>
  <c r="G85" i="2" s="1"/>
  <c r="C91" i="2"/>
  <c r="G91" i="2" s="1"/>
  <c r="C96" i="2"/>
  <c r="G96" i="2" s="1"/>
  <c r="C98" i="2"/>
  <c r="G98" i="2" s="1"/>
  <c r="C108" i="2"/>
  <c r="G108" i="2" s="1"/>
  <c r="C119" i="2"/>
  <c r="G119" i="2" s="1"/>
  <c r="C18" i="2"/>
  <c r="G18" i="2" s="1"/>
  <c r="C20" i="2"/>
  <c r="G20" i="2" s="1"/>
  <c r="C22" i="2"/>
  <c r="G22" i="2" s="1"/>
  <c r="C24" i="2"/>
  <c r="G24" i="2" s="1"/>
  <c r="C26" i="2"/>
  <c r="G26" i="2" s="1"/>
  <c r="C28" i="2"/>
  <c r="G28" i="2" s="1"/>
  <c r="C30" i="2"/>
  <c r="G30" i="2" s="1"/>
  <c r="C32" i="2"/>
  <c r="G32" i="2" s="1"/>
  <c r="C34" i="2"/>
  <c r="G34" i="2" s="1"/>
  <c r="C36" i="2"/>
  <c r="G36" i="2" s="1"/>
  <c r="C38" i="2"/>
  <c r="G38" i="2" s="1"/>
  <c r="C40" i="2"/>
  <c r="G40" i="2" s="1"/>
  <c r="C63" i="2"/>
  <c r="G63" i="2" s="1"/>
  <c r="C71" i="2"/>
  <c r="G71" i="2" s="1"/>
  <c r="C79" i="2"/>
  <c r="G79" i="2" s="1"/>
  <c r="C87" i="2"/>
  <c r="G87" i="2" s="1"/>
  <c r="C93" i="2"/>
  <c r="G93" i="2" s="1"/>
  <c r="C95" i="2"/>
  <c r="G95" i="2" s="1"/>
  <c r="C100" i="2"/>
  <c r="G100" i="2" s="1"/>
  <c r="C102" i="2"/>
  <c r="G102" i="2" s="1"/>
  <c r="C104" i="2"/>
  <c r="G104" i="2" s="1"/>
  <c r="C106" i="2"/>
  <c r="G106" i="2" s="1"/>
  <c r="C112" i="2"/>
  <c r="G112" i="2" s="1"/>
  <c r="C114" i="2"/>
  <c r="G114" i="2" s="1"/>
  <c r="C121" i="2"/>
  <c r="G121" i="2" s="1"/>
  <c r="C110" i="2"/>
  <c r="G110" i="2" s="1"/>
  <c r="C117" i="2"/>
  <c r="G117" i="2" s="1"/>
  <c r="C44" i="2"/>
  <c r="G44" i="2" s="1"/>
  <c r="C48" i="2"/>
  <c r="G48" i="2" s="1"/>
  <c r="C52" i="2"/>
  <c r="G52" i="2" s="1"/>
  <c r="C56" i="2"/>
  <c r="G56" i="2" s="1"/>
  <c r="C60" i="2"/>
  <c r="G60" i="2" s="1"/>
  <c r="C62" i="2"/>
  <c r="G62" i="2" s="1"/>
  <c r="C65" i="2"/>
  <c r="G65" i="2" s="1"/>
  <c r="C68" i="2"/>
  <c r="G68" i="2" s="1"/>
  <c r="C70" i="2"/>
  <c r="G70" i="2" s="1"/>
  <c r="C73" i="2"/>
  <c r="G73" i="2" s="1"/>
  <c r="C76" i="2"/>
  <c r="G76" i="2" s="1"/>
  <c r="C78" i="2"/>
  <c r="G78" i="2" s="1"/>
  <c r="C81" i="2"/>
  <c r="G81" i="2" s="1"/>
  <c r="C84" i="2"/>
  <c r="G84" i="2" s="1"/>
  <c r="C86" i="2"/>
  <c r="G86" i="2" s="1"/>
  <c r="C89" i="2"/>
  <c r="G89" i="2" s="1"/>
  <c r="C92" i="2"/>
  <c r="G92" i="2" s="1"/>
  <c r="C39" i="2"/>
  <c r="G39" i="2" s="1"/>
  <c r="C43" i="2"/>
  <c r="G43" i="2" s="1"/>
  <c r="C47" i="2"/>
  <c r="G47" i="2" s="1"/>
  <c r="C51" i="2"/>
  <c r="G51" i="2" s="1"/>
  <c r="C55" i="2"/>
  <c r="G55" i="2" s="1"/>
  <c r="C59" i="2"/>
  <c r="G59" i="2" s="1"/>
  <c r="C123" i="2"/>
  <c r="G123" i="2" s="1"/>
  <c r="C42" i="2"/>
  <c r="G42" i="2" s="1"/>
  <c r="C46" i="2"/>
  <c r="G46" i="2" s="1"/>
  <c r="C50" i="2"/>
  <c r="G50" i="2" s="1"/>
  <c r="C54" i="2"/>
  <c r="G54" i="2" s="1"/>
  <c r="C58" i="2"/>
  <c r="G58" i="2" s="1"/>
  <c r="G124" i="2"/>
  <c r="L42" i="10" l="1"/>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C40" i="11" l="1"/>
  <c r="C111" i="7" l="1"/>
  <c r="C112" i="6"/>
  <c r="C111" i="6"/>
  <c r="C8" i="6"/>
  <c r="C6" i="6"/>
  <c r="C112" i="7" l="1"/>
  <c r="C9" i="6"/>
  <c r="C7" i="6"/>
  <c r="C5" i="6"/>
  <c r="C110" i="7" l="1"/>
  <c r="C110" i="6"/>
  <c r="D40" i="17" l="1"/>
  <c r="G40" i="17"/>
  <c r="G40" i="16"/>
  <c r="D40" i="16"/>
  <c r="G40" i="15"/>
  <c r="D40" i="15"/>
  <c r="C40" i="17" l="1"/>
  <c r="C40" i="16"/>
  <c r="C40" i="15"/>
  <c r="C39" i="11" l="1"/>
  <c r="P42" i="10"/>
  <c r="F42" i="10"/>
  <c r="D109" i="9"/>
  <c r="D108" i="9"/>
  <c r="D107" i="9"/>
  <c r="I109" i="9"/>
  <c r="I108" i="9"/>
  <c r="I107" i="9"/>
  <c r="F107" i="8"/>
  <c r="E42" i="10" l="1"/>
  <c r="D42" i="10" s="1"/>
  <c r="C42" i="10"/>
  <c r="C108" i="9"/>
  <c r="C109" i="9"/>
  <c r="C107" i="9"/>
  <c r="F109" i="8" l="1"/>
  <c r="F108" i="8"/>
  <c r="C107" i="8"/>
  <c r="C109" i="6"/>
  <c r="C108" i="6"/>
  <c r="C107" i="6"/>
  <c r="C108" i="8" l="1"/>
  <c r="C109" i="8"/>
  <c r="C108" i="7"/>
  <c r="C109" i="7" l="1"/>
  <c r="C107" i="7"/>
  <c r="C22" i="42"/>
  <c r="C23" i="41"/>
  <c r="C22" i="39"/>
  <c r="C22" i="38"/>
  <c r="C106" i="6" l="1"/>
  <c r="C105" i="6"/>
  <c r="C104" i="6"/>
  <c r="C38" i="11" l="1"/>
  <c r="F104" i="8"/>
  <c r="G39" i="17" l="1"/>
  <c r="D39" i="17"/>
  <c r="G39" i="16"/>
  <c r="D39" i="16"/>
  <c r="G39" i="15"/>
  <c r="D39" i="15"/>
  <c r="P41" i="10"/>
  <c r="F41" i="10"/>
  <c r="I106" i="9"/>
  <c r="I105" i="9"/>
  <c r="I104" i="9"/>
  <c r="D106" i="9"/>
  <c r="D105" i="9"/>
  <c r="D104" i="9"/>
  <c r="F106" i="8"/>
  <c r="F105" i="8"/>
  <c r="C104" i="8"/>
  <c r="C106" i="7"/>
  <c r="C105" i="7"/>
  <c r="C104" i="7"/>
  <c r="C39" i="17" l="1"/>
  <c r="C106" i="8"/>
  <c r="C105" i="8"/>
  <c r="C39" i="16"/>
  <c r="C39" i="15"/>
  <c r="E41" i="10"/>
  <c r="D41" i="10" s="1"/>
  <c r="C41" i="10"/>
  <c r="C106" i="9"/>
  <c r="C104" i="9"/>
  <c r="C105" i="9"/>
  <c r="C21" i="38"/>
  <c r="D52" i="9" l="1"/>
  <c r="G38" i="15" l="1"/>
  <c r="D38" i="15"/>
  <c r="V22" i="41" l="1"/>
  <c r="P22" i="41"/>
  <c r="J22" i="41"/>
  <c r="D22" i="41"/>
  <c r="C22" i="41" l="1"/>
  <c r="I101" i="9" l="1"/>
  <c r="D103" i="9"/>
  <c r="D102" i="9"/>
  <c r="D101" i="9"/>
  <c r="I103" i="9"/>
  <c r="I102" i="9"/>
  <c r="C101" i="9" l="1"/>
  <c r="C102" i="9"/>
  <c r="C103" i="9"/>
  <c r="C37" i="11" l="1"/>
  <c r="C21" i="42" l="1"/>
  <c r="C21" i="39"/>
  <c r="G38" i="17"/>
  <c r="D38" i="17"/>
  <c r="G38" i="16"/>
  <c r="D38" i="16"/>
  <c r="C38" i="15"/>
  <c r="P40" i="10"/>
  <c r="F40" i="10"/>
  <c r="F103" i="8"/>
  <c r="F102" i="8"/>
  <c r="F101" i="8"/>
  <c r="C103" i="7"/>
  <c r="C102" i="7"/>
  <c r="C101" i="7"/>
  <c r="C103" i="6"/>
  <c r="C102" i="6"/>
  <c r="C101" i="6"/>
  <c r="C102" i="8" l="1"/>
  <c r="C103" i="8"/>
  <c r="C101" i="8"/>
  <c r="E40" i="10"/>
  <c r="D40" i="10" s="1"/>
  <c r="C40" i="10"/>
  <c r="C38" i="17"/>
  <c r="C38" i="16"/>
  <c r="C20" i="42"/>
  <c r="C19" i="42"/>
  <c r="I95" i="9" l="1"/>
  <c r="I96" i="9"/>
  <c r="I97" i="9"/>
  <c r="G37" i="16" l="1"/>
  <c r="G36" i="16"/>
  <c r="D37" i="16"/>
  <c r="D36" i="16"/>
  <c r="C20" i="39" l="1"/>
  <c r="C19" i="39"/>
  <c r="C20" i="38"/>
  <c r="C19" i="38"/>
  <c r="C17" i="38"/>
  <c r="C16" i="38"/>
  <c r="C15" i="38"/>
  <c r="C14" i="38"/>
  <c r="C13" i="38"/>
  <c r="C12" i="38"/>
  <c r="C11" i="38"/>
  <c r="C10" i="38"/>
  <c r="C9" i="38"/>
  <c r="C8" i="38"/>
  <c r="C7" i="38"/>
  <c r="C6" i="38"/>
  <c r="G37" i="17"/>
  <c r="G36" i="17"/>
  <c r="D37" i="17"/>
  <c r="D36" i="17"/>
  <c r="C37" i="16"/>
  <c r="C36" i="16"/>
  <c r="G37" i="15"/>
  <c r="G36" i="15"/>
  <c r="D37" i="15"/>
  <c r="D36" i="15"/>
  <c r="C36" i="11"/>
  <c r="C35" i="11"/>
  <c r="P39" i="10"/>
  <c r="P38" i="10"/>
  <c r="F39" i="10"/>
  <c r="D100" i="9"/>
  <c r="D99" i="9"/>
  <c r="D98" i="9"/>
  <c r="D97" i="9"/>
  <c r="D96" i="9"/>
  <c r="C96" i="9" s="1"/>
  <c r="D95" i="9"/>
  <c r="C95" i="9" s="1"/>
  <c r="I100" i="9"/>
  <c r="I99" i="9"/>
  <c r="I98" i="9"/>
  <c r="F100" i="8"/>
  <c r="F99" i="8"/>
  <c r="F98" i="8"/>
  <c r="F97" i="8"/>
  <c r="F96" i="8"/>
  <c r="F95" i="8"/>
  <c r="C100" i="7"/>
  <c r="C99" i="7"/>
  <c r="C98" i="7"/>
  <c r="C97" i="7"/>
  <c r="C96" i="7"/>
  <c r="C95" i="7"/>
  <c r="C100" i="6"/>
  <c r="C99" i="6"/>
  <c r="C98" i="6"/>
  <c r="C96" i="8" l="1"/>
  <c r="C98" i="8"/>
  <c r="C100" i="8"/>
  <c r="C97" i="8"/>
  <c r="C95" i="8"/>
  <c r="C99" i="8"/>
  <c r="C36" i="17"/>
  <c r="C99" i="9"/>
  <c r="C98" i="9"/>
  <c r="C100" i="9"/>
  <c r="C36" i="15"/>
  <c r="C37" i="17"/>
  <c r="C37" i="15"/>
  <c r="E39" i="10"/>
  <c r="D39" i="10" s="1"/>
  <c r="C39" i="10"/>
  <c r="C97" i="9"/>
  <c r="C97" i="6"/>
  <c r="C96" i="6"/>
  <c r="C95" i="6"/>
  <c r="C18" i="39" l="1"/>
  <c r="C17" i="39"/>
  <c r="C16" i="39"/>
  <c r="C15" i="39"/>
  <c r="C14" i="39"/>
  <c r="C13" i="39"/>
  <c r="C12" i="39"/>
  <c r="C11" i="39"/>
  <c r="C10" i="39"/>
  <c r="C9" i="39"/>
  <c r="C8" i="39"/>
  <c r="C7" i="39"/>
  <c r="C6" i="39"/>
  <c r="C5" i="39"/>
  <c r="F38" i="10"/>
  <c r="E38" i="10" s="1"/>
  <c r="D38" i="10" l="1"/>
  <c r="C38" i="10"/>
  <c r="V19" i="41" l="1"/>
  <c r="P19" i="41"/>
  <c r="J19" i="41"/>
  <c r="V18" i="41"/>
  <c r="P18" i="41"/>
  <c r="J18" i="41"/>
  <c r="D19" i="41"/>
  <c r="C19" i="41" l="1"/>
  <c r="C94" i="7" l="1"/>
  <c r="C93" i="7"/>
  <c r="C92" i="7"/>
  <c r="P131" i="14" l="1"/>
  <c r="P129" i="14"/>
  <c r="O131" i="14"/>
  <c r="O130" i="14"/>
  <c r="O129" i="14"/>
  <c r="H131" i="14"/>
  <c r="H130" i="14"/>
  <c r="H129" i="14"/>
  <c r="G131" i="14"/>
  <c r="G130" i="14"/>
  <c r="G129" i="14"/>
  <c r="D35" i="16" l="1"/>
  <c r="G35" i="16"/>
  <c r="D35" i="15"/>
  <c r="C35" i="16" l="1"/>
  <c r="C94" i="6" l="1"/>
  <c r="C93" i="6"/>
  <c r="C92" i="6"/>
  <c r="F94" i="8"/>
  <c r="F93" i="8"/>
  <c r="F92" i="8"/>
  <c r="C18" i="42"/>
  <c r="G35" i="17"/>
  <c r="D35" i="17"/>
  <c r="G35" i="15"/>
  <c r="C34" i="11"/>
  <c r="D94" i="9"/>
  <c r="D93" i="9"/>
  <c r="D92" i="9"/>
  <c r="I94" i="9"/>
  <c r="I93" i="9"/>
  <c r="I92" i="9"/>
  <c r="P37" i="10"/>
  <c r="F37" i="10"/>
  <c r="C94" i="8" l="1"/>
  <c r="C92" i="8"/>
  <c r="C93" i="8"/>
  <c r="C35" i="15"/>
  <c r="C92" i="9"/>
  <c r="C35" i="17"/>
  <c r="C94" i="9"/>
  <c r="C93" i="9"/>
  <c r="E37" i="10"/>
  <c r="D37" i="10" s="1"/>
  <c r="C37" i="10"/>
  <c r="O128" i="14"/>
  <c r="O127" i="14"/>
  <c r="O126" i="14"/>
  <c r="H128" i="14"/>
  <c r="H127" i="14"/>
  <c r="H126" i="14"/>
  <c r="I91" i="9"/>
  <c r="I90" i="9"/>
  <c r="I89" i="9"/>
  <c r="C17" i="42"/>
  <c r="D18" i="41"/>
  <c r="C18" i="41" s="1"/>
  <c r="C16" i="42"/>
  <c r="C15" i="42"/>
  <c r="C14" i="42"/>
  <c r="C13" i="42"/>
  <c r="C12" i="42"/>
  <c r="C11" i="42"/>
  <c r="C10" i="42"/>
  <c r="C9" i="42"/>
  <c r="C8" i="42"/>
  <c r="C7" i="42"/>
  <c r="C6" i="42"/>
  <c r="C5" i="42"/>
  <c r="V17" i="41"/>
  <c r="V16" i="41"/>
  <c r="V15" i="41"/>
  <c r="V14" i="41"/>
  <c r="V13" i="41"/>
  <c r="V12" i="41"/>
  <c r="V11" i="41"/>
  <c r="V10" i="41"/>
  <c r="P17" i="41"/>
  <c r="P16" i="41"/>
  <c r="P15" i="41"/>
  <c r="P14" i="41"/>
  <c r="P13" i="41"/>
  <c r="P12" i="41"/>
  <c r="P11" i="41"/>
  <c r="P10" i="41"/>
  <c r="J17" i="41"/>
  <c r="J16" i="41"/>
  <c r="J15" i="41"/>
  <c r="J14" i="41"/>
  <c r="J13" i="41"/>
  <c r="J12" i="41"/>
  <c r="J11" i="41"/>
  <c r="J10" i="41"/>
  <c r="D17" i="41"/>
  <c r="D16" i="41"/>
  <c r="D15" i="41"/>
  <c r="D14" i="41"/>
  <c r="D13" i="41"/>
  <c r="D12" i="41"/>
  <c r="D11" i="41"/>
  <c r="D10" i="41"/>
  <c r="V9" i="41"/>
  <c r="V8" i="41"/>
  <c r="V7" i="41"/>
  <c r="V6" i="41"/>
  <c r="P9" i="41"/>
  <c r="P8" i="41"/>
  <c r="P7" i="41"/>
  <c r="P6" i="41"/>
  <c r="J9" i="41"/>
  <c r="J8" i="41"/>
  <c r="J7" i="41"/>
  <c r="J6" i="41"/>
  <c r="D9" i="41"/>
  <c r="D8" i="41"/>
  <c r="D7" i="41"/>
  <c r="D6" i="41"/>
  <c r="C5" i="38"/>
  <c r="G34" i="17"/>
  <c r="D34" i="17"/>
  <c r="G34" i="16"/>
  <c r="D34" i="16"/>
  <c r="G34" i="15"/>
  <c r="D34" i="15"/>
  <c r="C33" i="11"/>
  <c r="P36" i="10"/>
  <c r="F36" i="10"/>
  <c r="D91" i="9"/>
  <c r="D90" i="9"/>
  <c r="D89" i="9"/>
  <c r="F91" i="8"/>
  <c r="F90" i="8"/>
  <c r="F89" i="8"/>
  <c r="C91" i="7"/>
  <c r="C90" i="7"/>
  <c r="C89" i="7"/>
  <c r="C91" i="6"/>
  <c r="C90" i="6"/>
  <c r="C89" i="6"/>
  <c r="C86" i="7"/>
  <c r="C87" i="7"/>
  <c r="C88" i="7"/>
  <c r="P125" i="14"/>
  <c r="P124" i="14"/>
  <c r="P123" i="14"/>
  <c r="O125" i="14"/>
  <c r="O124" i="14"/>
  <c r="O123" i="14"/>
  <c r="H125" i="14"/>
  <c r="H124" i="14"/>
  <c r="H123" i="14"/>
  <c r="D85" i="9"/>
  <c r="D86" i="9"/>
  <c r="D87" i="9"/>
  <c r="D88" i="9"/>
  <c r="I85" i="9"/>
  <c r="I86" i="9"/>
  <c r="I87" i="9"/>
  <c r="I88" i="9"/>
  <c r="F85" i="8"/>
  <c r="F86" i="8"/>
  <c r="F87" i="8"/>
  <c r="F88" i="8"/>
  <c r="C85" i="7"/>
  <c r="C85" i="6"/>
  <c r="C86" i="6"/>
  <c r="C87" i="6"/>
  <c r="C88" i="6"/>
  <c r="D32" i="17"/>
  <c r="D32" i="16"/>
  <c r="G32" i="16"/>
  <c r="G32" i="15"/>
  <c r="D32" i="15"/>
  <c r="C31" i="11"/>
  <c r="C32" i="11"/>
  <c r="P34" i="10"/>
  <c r="P35" i="10"/>
  <c r="F34" i="10"/>
  <c r="F35" i="10"/>
  <c r="G31" i="17"/>
  <c r="D31" i="17"/>
  <c r="G31" i="16"/>
  <c r="D31" i="16"/>
  <c r="G31" i="15"/>
  <c r="D31" i="15"/>
  <c r="C30" i="11"/>
  <c r="P33" i="10"/>
  <c r="F33" i="10"/>
  <c r="I83" i="9"/>
  <c r="I84" i="9"/>
  <c r="D83" i="9"/>
  <c r="D84" i="9"/>
  <c r="I82" i="9"/>
  <c r="D82" i="9"/>
  <c r="F83" i="8"/>
  <c r="F84" i="8"/>
  <c r="F82" i="8"/>
  <c r="C83" i="7"/>
  <c r="C84" i="7"/>
  <c r="C82" i="7"/>
  <c r="C83" i="6"/>
  <c r="C84" i="6"/>
  <c r="C82" i="6"/>
  <c r="G8" i="17"/>
  <c r="G9" i="17"/>
  <c r="G10" i="17"/>
  <c r="G11" i="17"/>
  <c r="G12" i="17"/>
  <c r="G13" i="17"/>
  <c r="G14" i="17"/>
  <c r="G15" i="17"/>
  <c r="G16" i="17"/>
  <c r="G17" i="17"/>
  <c r="G18" i="17"/>
  <c r="G19" i="17"/>
  <c r="G20" i="17"/>
  <c r="G21" i="17"/>
  <c r="G22" i="17"/>
  <c r="G23" i="17"/>
  <c r="G24" i="17"/>
  <c r="G25" i="17"/>
  <c r="G26" i="17"/>
  <c r="G27" i="17"/>
  <c r="G28" i="17"/>
  <c r="G29" i="17"/>
  <c r="G30" i="17"/>
  <c r="G33" i="17"/>
  <c r="D8" i="17"/>
  <c r="D9" i="17"/>
  <c r="D10" i="17"/>
  <c r="D11" i="17"/>
  <c r="D12" i="17"/>
  <c r="D13" i="17"/>
  <c r="D14" i="17"/>
  <c r="D15" i="17"/>
  <c r="D16" i="17"/>
  <c r="D17" i="17"/>
  <c r="D18" i="17"/>
  <c r="D19" i="17"/>
  <c r="D20" i="17"/>
  <c r="D21" i="17"/>
  <c r="D22" i="17"/>
  <c r="D23" i="17"/>
  <c r="D24" i="17"/>
  <c r="D25" i="17"/>
  <c r="D26" i="17"/>
  <c r="D27" i="17"/>
  <c r="D28" i="17"/>
  <c r="D29" i="17"/>
  <c r="D30" i="17"/>
  <c r="D33" i="17"/>
  <c r="G7" i="17"/>
  <c r="D7" i="17"/>
  <c r="G6" i="17"/>
  <c r="D6" i="17"/>
  <c r="G8" i="16"/>
  <c r="G9" i="16"/>
  <c r="G10" i="16"/>
  <c r="G11" i="16"/>
  <c r="G12" i="16"/>
  <c r="G13" i="16"/>
  <c r="G14" i="16"/>
  <c r="G15" i="16"/>
  <c r="G16" i="16"/>
  <c r="G17" i="16"/>
  <c r="G18" i="16"/>
  <c r="G19" i="16"/>
  <c r="G20" i="16"/>
  <c r="G21" i="16"/>
  <c r="G22" i="16"/>
  <c r="G23" i="16"/>
  <c r="G24" i="16"/>
  <c r="G25" i="16"/>
  <c r="G26" i="16"/>
  <c r="G28" i="16"/>
  <c r="G29" i="16"/>
  <c r="G30" i="16"/>
  <c r="G33" i="16"/>
  <c r="G7" i="16"/>
  <c r="G6" i="16"/>
  <c r="D8" i="16"/>
  <c r="D9" i="16"/>
  <c r="D10" i="16"/>
  <c r="D11" i="16"/>
  <c r="D12" i="16"/>
  <c r="D13" i="16"/>
  <c r="D14" i="16"/>
  <c r="D15" i="16"/>
  <c r="D16" i="16"/>
  <c r="D17" i="16"/>
  <c r="D18" i="16"/>
  <c r="D19" i="16"/>
  <c r="D20" i="16"/>
  <c r="D21" i="16"/>
  <c r="D22" i="16"/>
  <c r="D23" i="16"/>
  <c r="D24" i="16"/>
  <c r="D25" i="16"/>
  <c r="D26" i="16"/>
  <c r="D28" i="16"/>
  <c r="D29" i="16"/>
  <c r="D30" i="16"/>
  <c r="D33" i="16"/>
  <c r="D7" i="16"/>
  <c r="D6" i="16"/>
  <c r="G8" i="15"/>
  <c r="G9" i="15"/>
  <c r="G10" i="15"/>
  <c r="G11" i="15"/>
  <c r="G12" i="15"/>
  <c r="G13" i="15"/>
  <c r="G14" i="15"/>
  <c r="G15" i="15"/>
  <c r="G16" i="15"/>
  <c r="G17" i="15"/>
  <c r="G18" i="15"/>
  <c r="G19" i="15"/>
  <c r="G20" i="15"/>
  <c r="G21" i="15"/>
  <c r="G22" i="15"/>
  <c r="G23" i="15"/>
  <c r="G24" i="15"/>
  <c r="G25" i="15"/>
  <c r="G26" i="15"/>
  <c r="G27" i="15"/>
  <c r="G28" i="15"/>
  <c r="G29" i="15"/>
  <c r="G30" i="15"/>
  <c r="G33" i="15"/>
  <c r="D8" i="15"/>
  <c r="D9" i="15"/>
  <c r="D10" i="15"/>
  <c r="D11" i="15"/>
  <c r="D12" i="15"/>
  <c r="D13" i="15"/>
  <c r="D14" i="15"/>
  <c r="D15" i="15"/>
  <c r="D16" i="15"/>
  <c r="D17" i="15"/>
  <c r="D18" i="15"/>
  <c r="D19" i="15"/>
  <c r="D20" i="15"/>
  <c r="D21" i="15"/>
  <c r="D22" i="15"/>
  <c r="D23" i="15"/>
  <c r="D24" i="15"/>
  <c r="D25" i="15"/>
  <c r="D26" i="15"/>
  <c r="D27" i="15"/>
  <c r="D28" i="15"/>
  <c r="D29" i="15"/>
  <c r="D30" i="15"/>
  <c r="D33" i="15"/>
  <c r="G7" i="15"/>
  <c r="D7" i="15"/>
  <c r="G6" i="15"/>
  <c r="D6" i="15"/>
  <c r="C7" i="11"/>
  <c r="C8" i="11"/>
  <c r="C9" i="11"/>
  <c r="C10" i="11"/>
  <c r="C11" i="11"/>
  <c r="C12" i="11"/>
  <c r="C13" i="11"/>
  <c r="C14" i="11"/>
  <c r="C15" i="11"/>
  <c r="C16" i="11"/>
  <c r="C17" i="11"/>
  <c r="C18" i="11"/>
  <c r="C19" i="11"/>
  <c r="C20" i="11"/>
  <c r="C21" i="11"/>
  <c r="C22" i="11"/>
  <c r="C23" i="11"/>
  <c r="C24" i="11"/>
  <c r="C25" i="11"/>
  <c r="C26" i="11"/>
  <c r="C27" i="11"/>
  <c r="C28" i="11"/>
  <c r="C29" i="11"/>
  <c r="C6" i="11"/>
  <c r="C5" i="11"/>
  <c r="P10" i="10"/>
  <c r="P11" i="10"/>
  <c r="P12" i="10"/>
  <c r="P13" i="10"/>
  <c r="P14" i="10"/>
  <c r="P15" i="10"/>
  <c r="P16" i="10"/>
  <c r="P17" i="10"/>
  <c r="P18" i="10"/>
  <c r="P19" i="10"/>
  <c r="P20" i="10"/>
  <c r="P21" i="10"/>
  <c r="P22" i="10"/>
  <c r="P23" i="10"/>
  <c r="P24" i="10"/>
  <c r="P25" i="10"/>
  <c r="P26" i="10"/>
  <c r="P27" i="10"/>
  <c r="P28" i="10"/>
  <c r="P29" i="10"/>
  <c r="P30" i="10"/>
  <c r="P31" i="10"/>
  <c r="P32" i="10"/>
  <c r="P9" i="10"/>
  <c r="P8" i="10"/>
  <c r="F10" i="10"/>
  <c r="F11" i="10"/>
  <c r="F12" i="10"/>
  <c r="E12" i="10" s="1"/>
  <c r="F13" i="10"/>
  <c r="E13" i="10" s="1"/>
  <c r="F14" i="10"/>
  <c r="E14" i="10" s="1"/>
  <c r="F15" i="10"/>
  <c r="E15" i="10" s="1"/>
  <c r="F16" i="10"/>
  <c r="E16" i="10" s="1"/>
  <c r="F17" i="10"/>
  <c r="E17" i="10" s="1"/>
  <c r="F18" i="10"/>
  <c r="F19" i="10"/>
  <c r="F20" i="10"/>
  <c r="F21" i="10"/>
  <c r="E21" i="10" s="1"/>
  <c r="F22" i="10"/>
  <c r="E22" i="10" s="1"/>
  <c r="F23" i="10"/>
  <c r="F24" i="10"/>
  <c r="E24" i="10" s="1"/>
  <c r="F25" i="10"/>
  <c r="F26" i="10"/>
  <c r="F27" i="10"/>
  <c r="F28" i="10"/>
  <c r="F29" i="10"/>
  <c r="E29" i="10" s="1"/>
  <c r="F30" i="10"/>
  <c r="E30" i="10" s="1"/>
  <c r="F31" i="10"/>
  <c r="F32" i="10"/>
  <c r="E32" i="10" s="1"/>
  <c r="F9" i="10"/>
  <c r="E9" i="10" s="1"/>
  <c r="F8" i="10"/>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C52" i="9" s="1"/>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6" i="9"/>
  <c r="I5"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6" i="9"/>
  <c r="D5" i="9"/>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6" i="8"/>
  <c r="F5" i="8"/>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5" i="7"/>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P116" i="14"/>
  <c r="O116" i="14"/>
  <c r="H116" i="14"/>
  <c r="P114" i="14"/>
  <c r="P115" i="14"/>
  <c r="O115" i="14"/>
  <c r="O114" i="14"/>
  <c r="H115" i="14"/>
  <c r="H114" i="14"/>
  <c r="P113" i="14"/>
  <c r="P112" i="14"/>
  <c r="P111" i="14"/>
  <c r="O113" i="14"/>
  <c r="O112" i="14"/>
  <c r="O111" i="14"/>
  <c r="H113" i="14"/>
  <c r="H112" i="14"/>
  <c r="H111" i="14"/>
  <c r="G113" i="14"/>
  <c r="G112" i="14"/>
  <c r="G111" i="14"/>
  <c r="R110" i="14"/>
  <c r="R109" i="14"/>
  <c r="R108" i="14"/>
  <c r="P110" i="14"/>
  <c r="P109" i="14"/>
  <c r="P108" i="14"/>
  <c r="O110" i="14"/>
  <c r="O109" i="14"/>
  <c r="O108" i="14"/>
  <c r="J110" i="14"/>
  <c r="J109" i="14"/>
  <c r="J108" i="14"/>
  <c r="H110" i="14"/>
  <c r="H109" i="14"/>
  <c r="H108" i="14"/>
  <c r="G110" i="14"/>
  <c r="G109" i="14"/>
  <c r="G108" i="14"/>
  <c r="G27" i="16"/>
  <c r="D27" i="16"/>
  <c r="H37" i="28"/>
  <c r="H36" i="28"/>
  <c r="H35" i="28"/>
  <c r="H34" i="28"/>
  <c r="H33" i="28"/>
  <c r="H32" i="28"/>
  <c r="H31" i="28"/>
  <c r="H30" i="28"/>
  <c r="H29" i="28"/>
  <c r="H28" i="28"/>
  <c r="H27" i="28"/>
  <c r="H26" i="28"/>
  <c r="H25" i="28"/>
  <c r="H24" i="28"/>
  <c r="H23" i="28"/>
  <c r="H22" i="28"/>
  <c r="H21" i="28"/>
  <c r="H20" i="28"/>
  <c r="H19" i="28"/>
  <c r="H18" i="28"/>
  <c r="H17" i="28"/>
  <c r="H16" i="28"/>
  <c r="H15" i="28"/>
  <c r="H14" i="28"/>
  <c r="H13" i="28"/>
  <c r="H12" i="28"/>
  <c r="H11" i="28"/>
  <c r="H10" i="28"/>
  <c r="H9" i="28"/>
  <c r="H8" i="28"/>
  <c r="H7" i="28"/>
  <c r="H6" i="28"/>
  <c r="H5" i="28"/>
  <c r="E18" i="1"/>
  <c r="E19" i="1"/>
  <c r="E20" i="1"/>
  <c r="E21" i="1"/>
  <c r="E22" i="1"/>
  <c r="E23" i="1"/>
  <c r="E24" i="1"/>
  <c r="E7" i="1"/>
  <c r="E8" i="1"/>
  <c r="E9" i="1"/>
  <c r="E10" i="1"/>
  <c r="E11" i="1"/>
  <c r="E12" i="1"/>
  <c r="E13" i="1"/>
  <c r="E14" i="1"/>
  <c r="E15" i="1"/>
  <c r="E16" i="1"/>
  <c r="E17" i="1"/>
  <c r="E6" i="1"/>
  <c r="E8" i="10" l="1"/>
  <c r="C8" i="10"/>
  <c r="C10" i="41"/>
  <c r="C25" i="17"/>
  <c r="C11" i="15"/>
  <c r="C33" i="15"/>
  <c r="C27" i="15"/>
  <c r="C19" i="15"/>
  <c r="C9" i="17"/>
  <c r="C13" i="15"/>
  <c r="C15" i="15"/>
  <c r="C14" i="17"/>
  <c r="C16" i="41"/>
  <c r="C15" i="41"/>
  <c r="C11" i="17"/>
  <c r="C28" i="15"/>
  <c r="C17" i="41"/>
  <c r="C17" i="15"/>
  <c r="C20" i="15"/>
  <c r="C15" i="17"/>
  <c r="C8" i="17"/>
  <c r="C23" i="15"/>
  <c r="C9" i="41"/>
  <c r="C24" i="15"/>
  <c r="C18" i="15"/>
  <c r="C26" i="15"/>
  <c r="C16" i="17"/>
  <c r="C10" i="15"/>
  <c r="C8" i="15"/>
  <c r="C16" i="15"/>
  <c r="C33" i="17"/>
  <c r="C25" i="15"/>
  <c r="D30" i="10"/>
  <c r="D22" i="10"/>
  <c r="D14" i="10"/>
  <c r="C28" i="16"/>
  <c r="C19" i="16"/>
  <c r="C11" i="16"/>
  <c r="C14" i="41"/>
  <c r="D13" i="10"/>
  <c r="C24" i="17"/>
  <c r="C28" i="10"/>
  <c r="C20" i="10"/>
  <c r="D12" i="10"/>
  <c r="C55" i="9"/>
  <c r="C58" i="9"/>
  <c r="C29" i="16"/>
  <c r="C20" i="16"/>
  <c r="C12" i="15"/>
  <c r="C68" i="9"/>
  <c r="C60" i="9"/>
  <c r="C36" i="9"/>
  <c r="C28" i="9"/>
  <c r="C21" i="15"/>
  <c r="C14" i="9"/>
  <c r="C12" i="16"/>
  <c r="C6" i="16"/>
  <c r="C24" i="16"/>
  <c r="C16" i="16"/>
  <c r="C8" i="16"/>
  <c r="C25" i="9"/>
  <c r="C23" i="17"/>
  <c r="C75" i="9"/>
  <c r="C67" i="9"/>
  <c r="C35" i="9"/>
  <c r="C27" i="9"/>
  <c r="C19" i="9"/>
  <c r="C11" i="9"/>
  <c r="C32" i="16"/>
  <c r="C25" i="16"/>
  <c r="C17" i="16"/>
  <c r="C9" i="16"/>
  <c r="C30" i="17"/>
  <c r="C22" i="17"/>
  <c r="C80" i="9"/>
  <c r="C72" i="9"/>
  <c r="C56" i="9"/>
  <c r="C48" i="9"/>
  <c r="C40" i="9"/>
  <c r="C32" i="9"/>
  <c r="C8" i="41"/>
  <c r="C12" i="41"/>
  <c r="C79" i="9"/>
  <c r="C71" i="9"/>
  <c r="C63" i="9"/>
  <c r="C6" i="41"/>
  <c r="D32" i="10"/>
  <c r="D24" i="10"/>
  <c r="D16" i="10"/>
  <c r="C30" i="16"/>
  <c r="C21" i="16"/>
  <c r="C13" i="16"/>
  <c r="C7" i="41"/>
  <c r="E20" i="10"/>
  <c r="D20" i="10" s="1"/>
  <c r="C14" i="16"/>
  <c r="C34" i="16"/>
  <c r="C11" i="41"/>
  <c r="C13" i="41"/>
  <c r="C17" i="17"/>
  <c r="C27" i="17"/>
  <c r="C19" i="17"/>
  <c r="C7" i="16"/>
  <c r="C23" i="16"/>
  <c r="C15" i="16"/>
  <c r="C19" i="10"/>
  <c r="C45" i="9"/>
  <c r="C85" i="9"/>
  <c r="C34" i="17"/>
  <c r="C31" i="16"/>
  <c r="C12" i="10"/>
  <c r="C7" i="17"/>
  <c r="C31" i="17"/>
  <c r="C26" i="17"/>
  <c r="C18" i="17"/>
  <c r="C10" i="17"/>
  <c r="C28" i="17"/>
  <c r="C20" i="17"/>
  <c r="C12" i="17"/>
  <c r="C27" i="16"/>
  <c r="C33" i="16"/>
  <c r="C26" i="16"/>
  <c r="C22" i="16"/>
  <c r="C10" i="16"/>
  <c r="C7" i="15"/>
  <c r="C6" i="15"/>
  <c r="C33" i="10"/>
  <c r="C9" i="10"/>
  <c r="C13" i="10"/>
  <c r="C77" i="9"/>
  <c r="C49" i="9"/>
  <c r="C37" i="9"/>
  <c r="C29" i="9"/>
  <c r="C13" i="9"/>
  <c r="C8" i="9"/>
  <c r="C24" i="9"/>
  <c r="C20" i="9"/>
  <c r="C16" i="9"/>
  <c r="C12" i="9"/>
  <c r="C44" i="9"/>
  <c r="C81" i="9"/>
  <c r="C73" i="9"/>
  <c r="C69" i="9"/>
  <c r="C65" i="9"/>
  <c r="C61" i="9"/>
  <c r="C90" i="9"/>
  <c r="C91" i="9"/>
  <c r="C6" i="9"/>
  <c r="C74" i="9"/>
  <c r="C70" i="9"/>
  <c r="C66" i="9"/>
  <c r="C50" i="9"/>
  <c r="C38" i="9"/>
  <c r="C34" i="9"/>
  <c r="C22" i="9"/>
  <c r="C18" i="9"/>
  <c r="C82" i="9"/>
  <c r="C5" i="8"/>
  <c r="C79" i="8"/>
  <c r="C75" i="8"/>
  <c r="C71" i="8"/>
  <c r="C67" i="8"/>
  <c r="C63" i="8"/>
  <c r="C59" i="8"/>
  <c r="C55" i="8"/>
  <c r="C51" i="8"/>
  <c r="C47" i="8"/>
  <c r="C43" i="8"/>
  <c r="C39" i="8"/>
  <c r="C35" i="8"/>
  <c r="C31" i="8"/>
  <c r="C27" i="8"/>
  <c r="C23" i="8"/>
  <c r="C19" i="8"/>
  <c r="C15" i="8"/>
  <c r="C11" i="8"/>
  <c r="C7" i="8"/>
  <c r="C84" i="8"/>
  <c r="C88" i="8"/>
  <c r="C90" i="8"/>
  <c r="C6" i="8"/>
  <c r="C78" i="8"/>
  <c r="C74" i="8"/>
  <c r="C70" i="8"/>
  <c r="C66" i="8"/>
  <c r="C62" i="8"/>
  <c r="C58" i="8"/>
  <c r="C54" i="8"/>
  <c r="C50" i="8"/>
  <c r="C46" i="8"/>
  <c r="C42" i="8"/>
  <c r="C38" i="8"/>
  <c r="C34" i="8"/>
  <c r="C30" i="8"/>
  <c r="C26" i="8"/>
  <c r="C22" i="8"/>
  <c r="C18" i="8"/>
  <c r="C14" i="8"/>
  <c r="C10" i="8"/>
  <c r="C83" i="8"/>
  <c r="C87" i="8"/>
  <c r="C91" i="8"/>
  <c r="C81" i="8"/>
  <c r="C77" i="8"/>
  <c r="C73" i="8"/>
  <c r="C69" i="8"/>
  <c r="C65" i="8"/>
  <c r="C61" i="8"/>
  <c r="C57" i="8"/>
  <c r="C53" i="8"/>
  <c r="C49" i="8"/>
  <c r="C45" i="8"/>
  <c r="C41" i="8"/>
  <c r="C37" i="8"/>
  <c r="C33" i="8"/>
  <c r="C29" i="8"/>
  <c r="C25" i="8"/>
  <c r="C21" i="8"/>
  <c r="C17" i="8"/>
  <c r="C13" i="8"/>
  <c r="C9" i="8"/>
  <c r="C86" i="8"/>
  <c r="C80" i="8"/>
  <c r="C76" i="8"/>
  <c r="C72" i="8"/>
  <c r="C68" i="8"/>
  <c r="C64" i="8"/>
  <c r="C60" i="8"/>
  <c r="C56" i="8"/>
  <c r="C52" i="8"/>
  <c r="C48" i="8"/>
  <c r="C44" i="8"/>
  <c r="C40" i="8"/>
  <c r="C36" i="8"/>
  <c r="C32" i="8"/>
  <c r="C28" i="8"/>
  <c r="C24" i="8"/>
  <c r="C20" i="8"/>
  <c r="C16" i="8"/>
  <c r="C12" i="8"/>
  <c r="C8" i="8"/>
  <c r="C82" i="8"/>
  <c r="C85" i="8"/>
  <c r="C89" i="8"/>
  <c r="C57" i="9"/>
  <c r="C21" i="9"/>
  <c r="C9" i="9"/>
  <c r="C78" i="9"/>
  <c r="C30" i="9"/>
  <c r="C5" i="9"/>
  <c r="C59" i="9"/>
  <c r="C39" i="9"/>
  <c r="C31" i="9"/>
  <c r="C23" i="9"/>
  <c r="C15" i="9"/>
  <c r="C7" i="9"/>
  <c r="C29" i="17"/>
  <c r="C21" i="17"/>
  <c r="C13" i="17"/>
  <c r="C6" i="17"/>
  <c r="C18" i="16"/>
  <c r="C9" i="15"/>
  <c r="C34" i="15"/>
  <c r="C22" i="15"/>
  <c r="C14" i="15"/>
  <c r="C30" i="15"/>
  <c r="C31" i="15"/>
  <c r="C29" i="15"/>
  <c r="C32" i="15"/>
  <c r="D21" i="10"/>
  <c r="D9" i="10"/>
  <c r="D29" i="10"/>
  <c r="C21" i="10"/>
  <c r="D17" i="10"/>
  <c r="C16" i="10"/>
  <c r="C32" i="10"/>
  <c r="E28" i="10"/>
  <c r="D28" i="10" s="1"/>
  <c r="C24" i="10"/>
  <c r="E34" i="10"/>
  <c r="D34" i="10" s="1"/>
  <c r="C18" i="10"/>
  <c r="E36" i="10"/>
  <c r="D36" i="10" s="1"/>
  <c r="C51" i="9"/>
  <c r="C47" i="9"/>
  <c r="C43" i="9"/>
  <c r="C62" i="9"/>
  <c r="C54" i="9"/>
  <c r="C46" i="9"/>
  <c r="C42" i="9"/>
  <c r="C26" i="9"/>
  <c r="C10" i="9"/>
  <c r="C86" i="9"/>
  <c r="C53" i="9"/>
  <c r="C41" i="9"/>
  <c r="C33" i="9"/>
  <c r="C17" i="9"/>
  <c r="C89" i="9"/>
  <c r="E35" i="10"/>
  <c r="D35" i="10" s="1"/>
  <c r="C35" i="10"/>
  <c r="C23" i="10"/>
  <c r="C83" i="9"/>
  <c r="C87" i="9"/>
  <c r="C84" i="9"/>
  <c r="C88" i="9"/>
  <c r="C76" i="9"/>
  <c r="C64" i="9"/>
  <c r="D8" i="10"/>
  <c r="E27" i="10"/>
  <c r="D27" i="10" s="1"/>
  <c r="E23" i="10"/>
  <c r="D23" i="10" s="1"/>
  <c r="C30" i="10"/>
  <c r="E26" i="10"/>
  <c r="D26" i="10" s="1"/>
  <c r="C22" i="10"/>
  <c r="E18" i="10"/>
  <c r="D18" i="10" s="1"/>
  <c r="C14" i="10"/>
  <c r="E10" i="10"/>
  <c r="D10" i="10" s="1"/>
  <c r="D15" i="10"/>
  <c r="C36" i="10"/>
  <c r="C29" i="10"/>
  <c r="C25" i="10"/>
  <c r="E11" i="10"/>
  <c r="D11" i="10" s="1"/>
  <c r="E33" i="10"/>
  <c r="D33" i="10" s="1"/>
  <c r="C34" i="10"/>
  <c r="C11" i="10"/>
  <c r="C27" i="10"/>
  <c r="C17" i="10"/>
  <c r="E19" i="10"/>
  <c r="D19" i="10" s="1"/>
  <c r="C10" i="10"/>
  <c r="C26" i="10"/>
  <c r="C15" i="10"/>
  <c r="E25" i="10"/>
  <c r="D25" i="10" s="1"/>
  <c r="C31" i="10"/>
  <c r="E31" i="10"/>
  <c r="D31" i="10" l="1"/>
</calcChain>
</file>

<file path=xl/sharedStrings.xml><?xml version="1.0" encoding="utf-8"?>
<sst xmlns="http://schemas.openxmlformats.org/spreadsheetml/2006/main" count="5674" uniqueCount="413">
  <si>
    <t>CONTENTS</t>
  </si>
  <si>
    <t>GLOSSARY</t>
  </si>
  <si>
    <t>MONETARY SECTOR</t>
  </si>
  <si>
    <t>Currency in Circulation</t>
  </si>
  <si>
    <t>Monetary Aggregates: M0, M1, Quasi Money and M2</t>
  </si>
  <si>
    <t>Brunei Darussalam Central Bank: Statement of Assets</t>
  </si>
  <si>
    <t>Brunei Darussalam Central Bank: Statement of Capital and Liabilities</t>
  </si>
  <si>
    <t>Brunei Government Securities: Sukuk Al-Ijarah Issuances and Outstanding</t>
  </si>
  <si>
    <t>1.5.1 Brunei Government Securities: Sukuk Al-Ijarah Yields</t>
  </si>
  <si>
    <t>BANKING SECTOR</t>
  </si>
  <si>
    <t>Banking System including TAIB: Statement of Assets</t>
  </si>
  <si>
    <t>Banking System including TAIB: Statement of Capital and Liabilities</t>
  </si>
  <si>
    <t>Banking System including TAIB: Direction of Lending</t>
  </si>
  <si>
    <t>Banking System including TAIB: Non-Performing Loans (NPL) / NPL Ratio</t>
  </si>
  <si>
    <t>Banking System including TAIB: Financial Soundness Indicators</t>
  </si>
  <si>
    <t>Finance Companies: Assets, Deposits and Loans/Financing</t>
  </si>
  <si>
    <t>INSURANCE/ TAKAFUL SECTOR</t>
  </si>
  <si>
    <t>Insurance / Takaful: Assets</t>
  </si>
  <si>
    <t>Insurance / Takaful: Gross Premiums</t>
  </si>
  <si>
    <t>Insurance / Takaful: Gross Claims</t>
  </si>
  <si>
    <t>RESIDENTIAL PROPERTY MARKET</t>
  </si>
  <si>
    <t>Number of transactions by Property Type</t>
  </si>
  <si>
    <t>Total value of transactions by Property Type</t>
  </si>
  <si>
    <t>Median purchase price of transactions by Property Type</t>
  </si>
  <si>
    <t>Number of transactions by District and Property Type</t>
  </si>
  <si>
    <t>Total value of transactions by Property Type in Brunei-Muara District</t>
  </si>
  <si>
    <t>Residential Property Market: Median purchase price of transactions by Property Type in Brunei-Muara District</t>
  </si>
  <si>
    <t>Residential Property Price Index</t>
  </si>
  <si>
    <t>BUSINESS SENTIMENT INDEX</t>
  </si>
  <si>
    <t>Business Sentiment Index by sub-indices</t>
  </si>
  <si>
    <t>Business Sentiment Index with sub-indices by economic sector</t>
  </si>
  <si>
    <t>Business Sentiment Index with sub-indices by business size</t>
  </si>
  <si>
    <t>OTHER STATISTICS</t>
  </si>
  <si>
    <t>Interest Rates: Banking Institutions and Finance Companies</t>
  </si>
  <si>
    <t>Exchange Rates: Brunei Dollar</t>
  </si>
  <si>
    <t>BDCB Overnight Standing Facilities Rates</t>
  </si>
  <si>
    <t>A</t>
  </si>
  <si>
    <t>Active Circulation*</t>
  </si>
  <si>
    <t>Active Circulation does not include cash holdings of commercial banks in Brunei Darussalam and Brunei currency held by Monetary Authority of Singapore pending repatriation.</t>
  </si>
  <si>
    <t>B</t>
  </si>
  <si>
    <t>Broad Money*</t>
  </si>
  <si>
    <t>Broad money consists of Narrow Money and Quasi Money.</t>
  </si>
  <si>
    <t>Business Sentiment Index</t>
  </si>
  <si>
    <t xml:space="preserve">The index is based on monthly surveys conducted on selected micro to large businesses, from all economic sectors in the country. The monthly index is designed to measure the level of business confidence/sentiment in the country. It serves to assess the current business climate of the private sector as a whole as well as within those sectors. As such, the index can be a leading macroeconomic indicator of economic growth with a forward-looking element. </t>
  </si>
  <si>
    <t>C</t>
  </si>
  <si>
    <t>Central Bank</t>
  </si>
  <si>
    <t>Central Bank is the national financial institution that exercises control over key aspects of the financial system and carries out such activities as issuing currency, managing international reserves, transacting with the International Monetary Fund, and providing credit to other depository corporations.</t>
  </si>
  <si>
    <t>Currency</t>
  </si>
  <si>
    <t>Currency consists of notes and coins that are fixed nominal values and are issued by central bank.</t>
  </si>
  <si>
    <t>D</t>
  </si>
  <si>
    <t>Deposits</t>
  </si>
  <si>
    <t>Deposits include all claims on the central bank, other depository corporations, government units, and in some cases, other institutional units that are represented by evidence of deposit.</t>
  </si>
  <si>
    <t>F</t>
  </si>
  <si>
    <t>Financial Derivatives</t>
  </si>
  <si>
    <t>Financial Derivatives contract is a financial instrument that is linked to a specific financial instrument, indicator, or commodity, and through which specific financial risks can be traded in their own right in financial markets.</t>
  </si>
  <si>
    <t>Foreign-controlled Nonfinancial Corporations</t>
  </si>
  <si>
    <t>Foreign-controlled Nonfinancial Corporations are resident nonfinancial corporations and quasi-corporations controlled by nonresidents.</t>
  </si>
  <si>
    <t>M</t>
  </si>
  <si>
    <t>Monetary Gold</t>
  </si>
  <si>
    <t>Monetary Gold consists only of gold held by the central bank or government as part of official reserves.</t>
  </si>
  <si>
    <t>N</t>
  </si>
  <si>
    <t>Narrow Money*</t>
  </si>
  <si>
    <t>Narrow Money consists of currency outside banks and demand deposits of private sector.</t>
  </si>
  <si>
    <t>National Private Nonfinancial Corporations</t>
  </si>
  <si>
    <t>National Private Nonfinancial Corporations are resident nonfinancial corporations and quasi-corporations that are not controlled by government or nonresident units.</t>
  </si>
  <si>
    <t>Nonfinancial Assets</t>
  </si>
  <si>
    <t>Nonfinancial Assets consist of tangible assets, both produced and non-produced, and intangible assets for which no corresponding liabilities are recorded.</t>
  </si>
  <si>
    <t>Nonfinancial Corporations</t>
  </si>
  <si>
    <t>Nonfinancial Corporations sector encompasses corporations and quasi-corporations engaging primarily in the production of goods and nonfinancial services.</t>
  </si>
  <si>
    <t>O</t>
  </si>
  <si>
    <t>Other Depository Corporations (ODCs)*</t>
  </si>
  <si>
    <t>ODCs subsector consists of licensed commercial banks, licensed finance companies and the Islamic Trust Fund.</t>
  </si>
  <si>
    <t>Other Financial Corporations (OFCs)*</t>
  </si>
  <si>
    <t>OFCs subsector consists of insurance and takaful companies, asset management companies and pension fund in Brunei as well as offshore banking and insurance institutions.</t>
  </si>
  <si>
    <t>Other Nonfinancial Corporations (ONFCs)</t>
  </si>
  <si>
    <t>ONFCs comprise foreign-controlled and national private nonfinancial corporations.</t>
  </si>
  <si>
    <t>P</t>
  </si>
  <si>
    <t>Public Nonfinancial Corporations (PNFCs)</t>
  </si>
  <si>
    <t>PNFCs are resident nonfinancial corporations and quasi-corporations controlled by the government units.</t>
  </si>
  <si>
    <t>Q</t>
  </si>
  <si>
    <t>Quasi-Corporations</t>
  </si>
  <si>
    <t>Quasi-Corporations are unincorporated enterprises that function as corporations.</t>
  </si>
  <si>
    <t>Quasi Money*</t>
  </si>
  <si>
    <t>Quasi Money consists of Fixed Deposits, and Savings and Other Deposits.</t>
  </si>
  <si>
    <t>R</t>
  </si>
  <si>
    <t>Residential Property Market</t>
  </si>
  <si>
    <t>Data is derived from loans/financing approved by banks operating in Brunei Darussalam to purchase residential property in the country, inclusive of customers building houses on their own land. For clarity, this excludes shophouses, loans for developers to develop residential properties for sale, loans/financing to renovate houses and loans/financing transferred from other banks. This also excludes cash transactions, the various Brunei Government national housing schemes and Brunei Government's/non-financial corporates' internal loan schemes for employees.</t>
  </si>
  <si>
    <t>S</t>
  </si>
  <si>
    <t>Securities Other Than Shares</t>
  </si>
  <si>
    <t>Securities Other Than Shares are negotiable instruments serving as evidence that units have obligations to settle by means of providing cash, a financial instrument, or some other item of economic value.</t>
  </si>
  <si>
    <t>Shares and Other Equity</t>
  </si>
  <si>
    <t>Shares and Other Equity comprise all instruments and records acknowledging after the claims of all creditors have been met, claims on the residual value of a corporations.</t>
  </si>
  <si>
    <t>Special Drawing Rights (SDRs)</t>
  </si>
  <si>
    <t>SDRs are international reserve assets created by the International Monetary Fund (IMF) and allocated to members to supplement existing official reserves.</t>
  </si>
  <si>
    <t>*Definitions in Brunei Darussalam’s context</t>
  </si>
  <si>
    <t>Source: Monetary and Financial Statistics Manual (MFSM), 2000</t>
  </si>
  <si>
    <t>1.1 Currency in Circulation</t>
  </si>
  <si>
    <t>Millions of Brunei Dollars</t>
  </si>
  <si>
    <t>End of Period</t>
  </si>
  <si>
    <t>Gross Circulation</t>
  </si>
  <si>
    <t>Active Circulation</t>
  </si>
  <si>
    <t>Active Circulation Over Gross Circulation</t>
  </si>
  <si>
    <t>Total</t>
  </si>
  <si>
    <t>Notes</t>
  </si>
  <si>
    <t>Coins</t>
  </si>
  <si>
    <t>Jan</t>
  </si>
  <si>
    <t>Feb</t>
  </si>
  <si>
    <t>Mar</t>
  </si>
  <si>
    <t>Apr</t>
  </si>
  <si>
    <t>May</t>
  </si>
  <si>
    <t>Jun</t>
  </si>
  <si>
    <t>July</t>
  </si>
  <si>
    <t>Aug</t>
  </si>
  <si>
    <t>Sep</t>
  </si>
  <si>
    <t>Oct</t>
  </si>
  <si>
    <t>Nov</t>
  </si>
  <si>
    <t>Dec</t>
  </si>
  <si>
    <t>Jul</t>
  </si>
  <si>
    <t>Source: Monetary Operations / Development and International Department, BDCB</t>
  </si>
  <si>
    <t>Note:</t>
  </si>
  <si>
    <t>Figures may not add up due to rounding</t>
  </si>
  <si>
    <t>1.2.1 Components of Broad Money</t>
  </si>
  <si>
    <t>M2: Broad Money</t>
  </si>
  <si>
    <t>Quasi Money</t>
  </si>
  <si>
    <t>National Currency Held by the Banks</t>
  </si>
  <si>
    <t>Demand Deposits</t>
  </si>
  <si>
    <t>Source: Monetary Policy and Management Department, AMBD</t>
  </si>
  <si>
    <t>1.3 Autoriti Monetari Brunei Darussalam : Monetary Survey</t>
  </si>
  <si>
    <t>Net Foreign Assets</t>
  </si>
  <si>
    <t>Claims on ODC</t>
  </si>
  <si>
    <t>Net Claims on CG</t>
  </si>
  <si>
    <t>Claims on Other Sectors</t>
  </si>
  <si>
    <t>Monetary Base</t>
  </si>
  <si>
    <t>Other Liabilities to ODC</t>
  </si>
  <si>
    <t>Deposits and Securities Other Than Shares</t>
  </si>
  <si>
    <t>Loans</t>
  </si>
  <si>
    <t>Other Items (Net)</t>
  </si>
  <si>
    <t>Claims on NR</t>
  </si>
  <si>
    <t>Liabilities to NR</t>
  </si>
  <si>
    <t>Claims on CG</t>
  </si>
  <si>
    <t>Liabilities to CG</t>
  </si>
  <si>
    <t>CIC</t>
  </si>
  <si>
    <t>Liabilities to ODC</t>
  </si>
  <si>
    <t>Liabilities to Other Sectors</t>
  </si>
  <si>
    <t>Abbreviations:</t>
  </si>
  <si>
    <t>NR</t>
  </si>
  <si>
    <t>Nonresidents</t>
  </si>
  <si>
    <t>CG</t>
  </si>
  <si>
    <t>Central Government</t>
  </si>
  <si>
    <t>S&amp;L</t>
  </si>
  <si>
    <t>State and Local Government</t>
  </si>
  <si>
    <t>ODC</t>
  </si>
  <si>
    <t>Other Depository Corporations</t>
  </si>
  <si>
    <t>OFC</t>
  </si>
  <si>
    <t>Other Financial Corporations</t>
  </si>
  <si>
    <t>PNFC</t>
  </si>
  <si>
    <t>Public Nonfinancial Corporations</t>
  </si>
  <si>
    <t>Other Sectors consists of OFC, S&amp;L, PNFC, and Private Sector</t>
  </si>
  <si>
    <t>1.2 Monetary Aggregates: M0, M1, Quasi Money, and M2</t>
  </si>
  <si>
    <t>M0: Currency in Circulation</t>
  </si>
  <si>
    <t>M1: Narrow Money</t>
  </si>
  <si>
    <t>Currency Outside Banks</t>
  </si>
  <si>
    <t>1.3 Brunei Darussalam Central Bank : Statement of Assets</t>
  </si>
  <si>
    <t>Total Assets</t>
  </si>
  <si>
    <t>Monetary Gold and SDRs</t>
  </si>
  <si>
    <t>Currency and Deposits</t>
  </si>
  <si>
    <t>Other Assets</t>
  </si>
  <si>
    <t>Source: Corporate Services Department, BDCB</t>
  </si>
  <si>
    <t>* Revised data</t>
  </si>
  <si>
    <t>1.4 Brunei Darussalam Central Bank : Statement of Capital and Liabilities</t>
  </si>
  <si>
    <t>Total Liabilities</t>
  </si>
  <si>
    <t>Paid-up Capital</t>
  </si>
  <si>
    <t>SDR Allocations</t>
  </si>
  <si>
    <t>Other Liabilities</t>
  </si>
  <si>
    <t>1.5 Brunei Government Securities: Sukuk Al-Ijarah Issuances and Outstanding</t>
  </si>
  <si>
    <t>Issuances</t>
  </si>
  <si>
    <t>Outstanding</t>
  </si>
  <si>
    <t>3 Months</t>
  </si>
  <si>
    <t>6 Months</t>
  </si>
  <si>
    <t>9 Months</t>
  </si>
  <si>
    <t>1 Year</t>
  </si>
  <si>
    <t>-</t>
  </si>
  <si>
    <t>April</t>
  </si>
  <si>
    <t>1.5.1 Brunei Government Securities : Sukuk Al-Ijarah Yield</t>
  </si>
  <si>
    <t>Percent per annum</t>
  </si>
  <si>
    <t>Maturity</t>
  </si>
  <si>
    <t xml:space="preserve">Oct </t>
  </si>
  <si>
    <t>2.1 Banking System including TAIB: Statement of Assets</t>
  </si>
  <si>
    <t>Notes and Coins Held</t>
  </si>
  <si>
    <t>Balances with BDCB, including Minimum Cash Balance</t>
  </si>
  <si>
    <t>Amount Due From Banks and Financial Institutions</t>
  </si>
  <si>
    <t>Loan and Advances / Financing (Net)</t>
  </si>
  <si>
    <t>Investments</t>
  </si>
  <si>
    <t>In Brunei Darussalam</t>
  </si>
  <si>
    <t>Outside Brunei Darussalam</t>
  </si>
  <si>
    <t>Source: Regulatory and Supervision Department, BDCB</t>
  </si>
  <si>
    <t>2.2 Banking System including TAIB: Statement of Capital and Liabilities</t>
  </si>
  <si>
    <t>Total 
Liabilities</t>
  </si>
  <si>
    <t>Deposits (Non-bank Customers)</t>
  </si>
  <si>
    <t>Due to Banks</t>
  </si>
  <si>
    <t>Other (Capital Funds and Other Liabilities)</t>
  </si>
  <si>
    <t>Demand</t>
  </si>
  <si>
    <t>Savings</t>
  </si>
  <si>
    <t>Time</t>
  </si>
  <si>
    <t>Others</t>
  </si>
  <si>
    <t>2.3 Banking System including TAIB: Direction of Lending</t>
  </si>
  <si>
    <t>Loans and Advances / Financing</t>
  </si>
  <si>
    <t>Domestic Lending</t>
  </si>
  <si>
    <t>Foreign Lending</t>
  </si>
  <si>
    <t>Household Sector</t>
  </si>
  <si>
    <t>Non-household Sector</t>
  </si>
  <si>
    <t>Personal Loans</t>
  </si>
  <si>
    <t>Property Financing</t>
  </si>
  <si>
    <t>Agricultural</t>
  </si>
  <si>
    <t>Financial</t>
  </si>
  <si>
    <t>Manufacturing</t>
  </si>
  <si>
    <t>Transportation</t>
  </si>
  <si>
    <t>Infrastructure</t>
  </si>
  <si>
    <t>Traders</t>
  </si>
  <si>
    <t>Services</t>
  </si>
  <si>
    <t>Commercial (Property Development) and Other Construction</t>
  </si>
  <si>
    <t>Tourism</t>
  </si>
  <si>
    <t>Telecommunication and Information Technology</t>
  </si>
  <si>
    <t>Vehicle (Automobiles)</t>
  </si>
  <si>
    <t>Credit Card</t>
  </si>
  <si>
    <t>Consumer Durables</t>
  </si>
  <si>
    <t>Home Improvement - Interior Decorations etc.</t>
  </si>
  <si>
    <t>General Consumption and Other Personal Loans</t>
  </si>
  <si>
    <t>Land Purchases and Constructions</t>
  </si>
  <si>
    <t>Housing Purchase</t>
  </si>
  <si>
    <t>Home Improvement (Structural, Renovation etc.)</t>
  </si>
  <si>
    <t>Q1</t>
  </si>
  <si>
    <t>Q2</t>
  </si>
  <si>
    <t>Q3</t>
  </si>
  <si>
    <t>Q4</t>
  </si>
  <si>
    <t>2.4 Banking System including TAIB: Non-Performing Loans/Financing (NPLF) / NPLF Ratio</t>
  </si>
  <si>
    <t>NPLF Category</t>
  </si>
  <si>
    <t>NPLF Ratio 
(%)</t>
  </si>
  <si>
    <t>Over 90 days less 180 days</t>
  </si>
  <si>
    <t>Over 180 days less 360 days</t>
  </si>
  <si>
    <t>Over 360 days</t>
  </si>
  <si>
    <t>Over 90 days less 180 days + Credit Impairment Factors</t>
  </si>
  <si>
    <t>Over 180 days less 360 days + Credit Impairment Factors</t>
  </si>
  <si>
    <t>Over 360 days + Credit Impairment Factors</t>
  </si>
  <si>
    <t>Notes:</t>
  </si>
  <si>
    <t>1. Figures may not add up due to rounding</t>
  </si>
  <si>
    <r>
      <t xml:space="preserve">2. As of Q2 2021 reporting, the data will be changed from Days Past Due to Classification in accordance to BDCB's Notice on Prudential Treatment of Problem Assets and Accounting for Expected Credit Losses. Under the new category, Non-Performing Loans/Financing includes the Days Past Due as well as credit impairment factors under the IFRS 9. 
      </t>
    </r>
    <r>
      <rPr>
        <sz val="9"/>
        <color theme="1" tint="0.249977111117893"/>
        <rFont val="Heuristica"/>
        <family val="1"/>
      </rPr>
      <t xml:space="preserve"> </t>
    </r>
    <r>
      <rPr>
        <u/>
        <sz val="9"/>
        <color theme="1" tint="0.249977111117893"/>
        <rFont val="Heuristica"/>
        <family val="1"/>
      </rPr>
      <t>Substandard</t>
    </r>
    <r>
      <rPr>
        <sz val="9"/>
        <color theme="1" tint="0.249977111117893"/>
        <rFont val="Heuristica"/>
        <family val="1"/>
      </rPr>
      <t xml:space="preserve">
       (Over 90 days less 180 days + Credit Impairment Factors)
      </t>
    </r>
    <r>
      <rPr>
        <u/>
        <sz val="9"/>
        <color theme="1" tint="0.249977111117893"/>
        <rFont val="Heuristica"/>
        <family val="1"/>
      </rPr>
      <t>Doubtful</t>
    </r>
    <r>
      <rPr>
        <sz val="9"/>
        <color theme="1" tint="0.249977111117893"/>
        <rFont val="Heuristica"/>
        <family val="1"/>
      </rPr>
      <t xml:space="preserve">
       (Over 180 days less 360 days + Credit Impairment Factors)
      </t>
    </r>
    <r>
      <rPr>
        <u/>
        <sz val="9"/>
        <color theme="1" tint="0.249977111117893"/>
        <rFont val="Heuristica"/>
        <family val="1"/>
      </rPr>
      <t>Loss</t>
    </r>
    <r>
      <rPr>
        <sz val="9"/>
        <color theme="1" tint="0.249977111117893"/>
        <rFont val="Heuristica"/>
        <family val="1"/>
      </rPr>
      <t xml:space="preserve">
       (Over 360 days + Credit Impairment Factors)</t>
    </r>
  </si>
  <si>
    <t xml:space="preserve">Further information: https://www.bdcb.gov.bn/SiteAssets/Pages/Legislation-And-Regulations/Notice%20on%20Prudential%20Treatment%20of%20Problem%20Assets%20and%20Accounting%20for%20ECL%20(Banks-IslamicBanks)%20(27DEC2018).pdf </t>
  </si>
  <si>
    <t>2.5 Banking System including TAIB: Financial Soundness Indicators</t>
  </si>
  <si>
    <t>Percent</t>
  </si>
  <si>
    <t>Capital Adequacy</t>
  </si>
  <si>
    <t>Assets Quality</t>
  </si>
  <si>
    <t>Profitability (Annualized)</t>
  </si>
  <si>
    <t>Liquidity</t>
  </si>
  <si>
    <t>Regulatory Capital to Risk Weighted Assets</t>
  </si>
  <si>
    <t>Tier 1 Capital to Risk Weighted Assets</t>
  </si>
  <si>
    <t>Non Performing Loans/Financing (Net of Specific Provisions) to Capital Funds</t>
  </si>
  <si>
    <t xml:space="preserve">Non Performing Loans/Financing to Gross Loans/Financing </t>
  </si>
  <si>
    <t>Net Non Performing Loans/Financing (Net of provisions) to Gross Loans/Financing</t>
  </si>
  <si>
    <t>Provision Coverage (Specific Provisions to Total NPLFs)</t>
  </si>
  <si>
    <t>Return on Assets (Before Tax)</t>
  </si>
  <si>
    <t>Return on Equity (After Tax)</t>
  </si>
  <si>
    <t>Net Interest/Profit margin to Gross Income</t>
  </si>
  <si>
    <t xml:space="preserve"> Efficiency Ratio</t>
  </si>
  <si>
    <t>Liquid Assets to Total Assets</t>
  </si>
  <si>
    <t xml:space="preserve">Liquid Assets to Total Deposits </t>
  </si>
  <si>
    <t>Liquid Assets to Demand and Savings Deposits (Non bank customers)</t>
  </si>
  <si>
    <t xml:space="preserve">Loans/Financing to Deposits Ratio </t>
  </si>
  <si>
    <t>2.6 Finance Companies: Assets, Deposits and Loans/Financing</t>
  </si>
  <si>
    <t>Assets</t>
  </si>
  <si>
    <t>Loans/Financing</t>
  </si>
  <si>
    <t>3.1 Insurance / Takaful: Assets</t>
  </si>
  <si>
    <t>Conventional</t>
  </si>
  <si>
    <t>Takaful</t>
  </si>
  <si>
    <t>Non-Life</t>
  </si>
  <si>
    <t>Life</t>
  </si>
  <si>
    <t>Non-life</t>
  </si>
  <si>
    <t>Family</t>
  </si>
  <si>
    <t>3.2 Insurance / Takaful: Gross Premiums</t>
  </si>
  <si>
    <t>Gross Premiums</t>
  </si>
  <si>
    <t>3.3 Insurance / Takaful: Gross Claims</t>
  </si>
  <si>
    <t>Gross Claims</t>
  </si>
  <si>
    <t xml:space="preserve"> -3.72*</t>
  </si>
  <si>
    <t>- Figures may not add up due to rounding</t>
  </si>
  <si>
    <t>- On Q2 2020, the negative Gross Claims for Non-Life Takaful is due to overprovision of gross claims.</t>
  </si>
  <si>
    <t>- On Q4 2021, the negative Gross Claims for Non-Life Takaful is due to release of claims provision.</t>
  </si>
  <si>
    <t>4.1 Residential Property Market: No. of transactions by Property Type</t>
  </si>
  <si>
    <t>Number</t>
  </si>
  <si>
    <t>Transactions by Property Type</t>
  </si>
  <si>
    <t>Detached</t>
  </si>
  <si>
    <t>Semi-Detached</t>
  </si>
  <si>
    <t>Terrace</t>
  </si>
  <si>
    <t>Apartment</t>
  </si>
  <si>
    <t>Land</t>
  </si>
  <si>
    <t>4.2 Residential Property Market: Total value of transactions by Property Type</t>
  </si>
  <si>
    <t>Value of transactions</t>
  </si>
  <si>
    <t>4.3 Residential Property Market: Median purchase price of transactions by Property Type</t>
  </si>
  <si>
    <t>Thousands of Brunei Dollars</t>
  </si>
  <si>
    <t>Median purchase price of transactions</t>
  </si>
  <si>
    <t>Overall</t>
  </si>
  <si>
    <t>4.4 Residential Property Market: No. of transactions by District and Property Type</t>
  </si>
  <si>
    <t>Transactions by District</t>
  </si>
  <si>
    <t xml:space="preserve">Brunei-Muara </t>
  </si>
  <si>
    <t>Tutong</t>
  </si>
  <si>
    <t xml:space="preserve">Belait </t>
  </si>
  <si>
    <t xml:space="preserve">Temburong </t>
  </si>
  <si>
    <t>Semi-
Detached</t>
  </si>
  <si>
    <t>4.5 Residential Property Market: Total value of transactions by Property Type in Brunei-Muara District</t>
  </si>
  <si>
    <t>Value of transactions in Brunei-Muara District</t>
  </si>
  <si>
    <t>4.6 Residential Property Market: Median purchase price of transactions by Property Type in Brunei-Muara District</t>
  </si>
  <si>
    <t>Median purchase price of transactions in Brunei-Muara District</t>
  </si>
  <si>
    <t>4.7 Residential Property Market: Residential Property Price Index</t>
  </si>
  <si>
    <t>Index</t>
  </si>
  <si>
    <t>5.1 Business Sentiment Index by sub-indices</t>
  </si>
  <si>
    <t>BSI value</t>
  </si>
  <si>
    <t>Interpretation</t>
  </si>
  <si>
    <t>Above 50</t>
  </si>
  <si>
    <t>Expansion / Optimism compared to the previous month</t>
  </si>
  <si>
    <t>No change compared to the previous month</t>
  </si>
  <si>
    <t>Below 50</t>
  </si>
  <si>
    <t>Contraction / Less optimism compared to the previous month</t>
  </si>
  <si>
    <t>Note: For 1M (one month) Ahead, the result compares expected performance in the next month compared to the current month while the 3M (three month) Ahead, the result compares expected performance 3 months ahead compared to the current month.</t>
  </si>
  <si>
    <t>Threshold</t>
  </si>
  <si>
    <t>Sub-index</t>
  </si>
  <si>
    <t>Current Business Conditions</t>
  </si>
  <si>
    <t>1M Ahead Business Conditions</t>
  </si>
  <si>
    <t>Current Investment</t>
  </si>
  <si>
    <t>1M Ahead Investment</t>
  </si>
  <si>
    <t>3M Ahead Investment</t>
  </si>
  <si>
    <t>Current Employment</t>
  </si>
  <si>
    <t>1M Ahead Employment</t>
  </si>
  <si>
    <t>Current Costs</t>
  </si>
  <si>
    <t>1M Ahead Costs</t>
  </si>
  <si>
    <t>5.2 Business Sentiment Index with sub-indices by economic sector</t>
  </si>
  <si>
    <t>Note: For sub-sectors description, please refer to BSI technical notes at https://www.bdcb.gov.bn/Site%20Assets%20%20News/BSI%20Methodology%20and%20Technical%20Notes.pdf</t>
  </si>
  <si>
    <t>Current business conditions by economic sector</t>
  </si>
  <si>
    <t>Economic sector</t>
  </si>
  <si>
    <t>Oil and Gas Related</t>
  </si>
  <si>
    <t>Construction</t>
  </si>
  <si>
    <t>Wholesale &amp; Retail Trade</t>
  </si>
  <si>
    <t>Transport &amp; Communication</t>
  </si>
  <si>
    <t>Agriculture, Forestry, Fisheries &amp; Livestock</t>
  </si>
  <si>
    <t>Finance &amp; Insurance</t>
  </si>
  <si>
    <t>Real estate &amp; Ownership of Dwellings</t>
  </si>
  <si>
    <t>Hotels &amp; Restaurants</t>
  </si>
  <si>
    <t>Health &amp; Education</t>
  </si>
  <si>
    <t>Other Private Services</t>
  </si>
  <si>
    <t>1M ahead business conditions by economic sector</t>
  </si>
  <si>
    <t>Current investments by economic sector</t>
  </si>
  <si>
    <t>1M ahead investments by economic sector</t>
  </si>
  <si>
    <t>3M ahead investments by economic sector</t>
  </si>
  <si>
    <t>Current employment by economic sector</t>
  </si>
  <si>
    <t>1M ahead employment by economic sector</t>
  </si>
  <si>
    <t>Current costs by economic sector</t>
  </si>
  <si>
    <t>1M ahead costs by economic sector</t>
  </si>
  <si>
    <t>5.3 Business Sentiment Index with sub-indices by business size</t>
  </si>
  <si>
    <t>Note: Micro (1-5 employees), Small (6-50 employees), Medium (51-100 employees) and Large (&gt;100 employees)</t>
  </si>
  <si>
    <t>Current business conditions by business size</t>
  </si>
  <si>
    <t>Business size</t>
  </si>
  <si>
    <t>Micro</t>
  </si>
  <si>
    <t>Small</t>
  </si>
  <si>
    <t>Medium</t>
  </si>
  <si>
    <t>Large</t>
  </si>
  <si>
    <t>1M ahead business conditions by business size</t>
  </si>
  <si>
    <t>Current investments by business size</t>
  </si>
  <si>
    <t>1M ahead investments by business size</t>
  </si>
  <si>
    <t>3M ahead investments by business size</t>
  </si>
  <si>
    <t>Current employment by business size</t>
  </si>
  <si>
    <t>1M ahead employment by business size</t>
  </si>
  <si>
    <t>Current costs by business size</t>
  </si>
  <si>
    <t>1M ahead costs by business size</t>
  </si>
  <si>
    <t>6.1 Interest Rates: Banking Institutions</t>
  </si>
  <si>
    <t>Average Deposit Rate 
3 Months</t>
  </si>
  <si>
    <t>Average Deposit Rate 
6 Months</t>
  </si>
  <si>
    <t>Average Deposit Rate 
12 Months</t>
  </si>
  <si>
    <t>Prime Lending Rate</t>
  </si>
  <si>
    <t>5.1 Reserve Money</t>
  </si>
  <si>
    <t>Total Reserve Money</t>
  </si>
  <si>
    <t>Components of Reserve Money</t>
  </si>
  <si>
    <t>Excess Reserves</t>
  </si>
  <si>
    <t>Source: Monetary Operations Department, AMBD</t>
  </si>
  <si>
    <t>5.2 Currency Repatriation</t>
  </si>
  <si>
    <t>Millions of Brunei / Singapore Dollars</t>
  </si>
  <si>
    <t>Brunei Currency Received from Monetary Authority of Singapore</t>
  </si>
  <si>
    <t>Singapore Currency Sent to Monetary Authority of Singapore</t>
  </si>
  <si>
    <t>6.2 Exchange Rates: Brunei Dollar (BND)</t>
  </si>
  <si>
    <t>Period</t>
  </si>
  <si>
    <t>BND to 1 unit</t>
  </si>
  <si>
    <t>BND to 100 unit</t>
  </si>
  <si>
    <t>USD</t>
  </si>
  <si>
    <t>GBP</t>
  </si>
  <si>
    <t>AUD</t>
  </si>
  <si>
    <t>EUR</t>
  </si>
  <si>
    <t>HKD</t>
  </si>
  <si>
    <t>MYR</t>
  </si>
  <si>
    <t>JPY</t>
  </si>
  <si>
    <t>THB</t>
  </si>
  <si>
    <t>Average for Period</t>
  </si>
  <si>
    <t>Source: Bloomberg</t>
  </si>
  <si>
    <t>6.3 BDCB Overnight Standing Facilities Rates</t>
  </si>
  <si>
    <t>Effective Date</t>
  </si>
  <si>
    <t>Standing Facility Deposit Rate (%)</t>
  </si>
  <si>
    <t>Standing Facility Lending Rate (%)</t>
  </si>
  <si>
    <t>Safekeeping Fees (%)</t>
  </si>
  <si>
    <t>2.7 Finance Companies: Loans/Financing</t>
  </si>
  <si>
    <t>Car Financing</t>
  </si>
  <si>
    <t xml:space="preserve">- </t>
  </si>
  <si>
    <t xml:space="preserve">-   </t>
  </si>
  <si>
    <t>Source: Regulatory and Supervision Department, AMBD</t>
  </si>
  <si>
    <r>
      <rPr>
        <b/>
        <sz val="20"/>
        <color rgb="FF006E59"/>
        <rFont val="Heuristica"/>
        <family val="1"/>
      </rPr>
      <t>Chart 5.2:</t>
    </r>
    <r>
      <rPr>
        <b/>
        <sz val="20"/>
        <color theme="1"/>
        <rFont val="Heuristica"/>
        <family val="1"/>
      </rPr>
      <t xml:space="preserve"> </t>
    </r>
    <r>
      <rPr>
        <b/>
        <sz val="20"/>
        <color rgb="FFD4C029"/>
        <rFont val="Heuristica"/>
        <family val="1"/>
      </rPr>
      <t>BUSINESS SENTIMENT INDEX BY ECONOMIC SECTOR</t>
    </r>
  </si>
  <si>
    <t>Note: Blank cells indicate that there were no purchases reported for the respective property type during that particular quarter.</t>
  </si>
  <si>
    <t>Note: Cells with N/A indicate that there were no purchases reported for the respective property type during that particular quarter.</t>
  </si>
  <si>
    <t>Mac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</si>
</sst>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_-* #,##0.00_-;\-* #,##0.00_-;_-* &quot;-&quot;??_-;_-@_-"/>
    <numFmt numFmtId="165" formatCode="#,##0.000"/>
    <numFmt numFmtId="166" formatCode="#,##0;[Red]#,##0"/>
    <numFmt numFmtId="167" formatCode="0.0"/>
    <numFmt numFmtId="168" formatCode="0.000"/>
    <numFmt numFmtId="169" formatCode="[$-409]mmm\-yy;@"/>
    <numFmt numFmtId="170" formatCode="#,##0.00;[Red]#,##0.00"/>
    <numFmt numFmtId="171" formatCode="#,##0.0"/>
    <numFmt numFmtId="172" formatCode="[$-409]mmm/yy;@"/>
    <numFmt numFmtId="173" formatCode="0.0%"/>
    <numFmt numFmtId="174" formatCode="[$-409]d/mmm/yy;@"/>
    <numFmt numFmtId="175" formatCode="_(* #,##0.000_);_(* \(#,##0.000\);_(* &quot;-&quot;??_);_(@_)"/>
    <numFmt numFmtId="176" formatCode="[$-409]d\-mmm\-yy;@"/>
    <numFmt numFmtId="177" formatCode="_(* #,##0.000000_);_(* \(#,##0.000000\);_(* &quot;-&quot;??_);_(@_)"/>
  </numFmts>
  <fonts count="116">
    <font>
      <sz val="11"/>
      <color theme="1"/>
      <name val="Calibri"/>
      <family val="2"/>
      <scheme val="minor"/>
    </font>
    <font>
      <b/>
      <sz val="11"/>
      <color theme="1"/>
      <name val="Cambria"/>
      <family val="1"/>
    </font>
    <font>
      <sz val="11"/>
      <color theme="1"/>
      <name val="Cambria"/>
      <family val="1"/>
    </font>
    <font>
      <sz val="11"/>
      <color theme="1"/>
      <name val="Calibri"/>
      <family val="2"/>
      <scheme val="minor"/>
    </font>
    <font>
      <b/>
      <sz val="10"/>
      <color theme="1"/>
      <name val="Cambria"/>
      <family val="1"/>
    </font>
    <font>
      <sz val="10"/>
      <color theme="1"/>
      <name val="Cambria"/>
      <family val="1"/>
    </font>
    <font>
      <i/>
      <sz val="10"/>
      <color theme="1"/>
      <name val="Cambria"/>
      <family val="1"/>
    </font>
    <font>
      <sz val="10"/>
      <name val="Times New Roman"/>
      <family val="1"/>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돋움"/>
      <family val="2"/>
      <charset val="129"/>
    </font>
    <font>
      <b/>
      <sz val="18"/>
      <color theme="3"/>
      <name val="Cambria"/>
      <family val="2"/>
      <scheme val="major"/>
    </font>
    <font>
      <sz val="10"/>
      <color indexed="8"/>
      <name val="Arial"/>
      <family val="2"/>
    </font>
    <font>
      <sz val="10"/>
      <color theme="1"/>
      <name val="Cambria"/>
      <family val="1"/>
      <scheme val="major"/>
    </font>
    <font>
      <sz val="10"/>
      <name val="Geneva"/>
    </font>
    <font>
      <sz val="10"/>
      <name val="Tahoma"/>
      <family val="2"/>
    </font>
    <font>
      <sz val="11"/>
      <name val="Calibri"/>
      <family val="2"/>
    </font>
    <font>
      <sz val="11"/>
      <color theme="1"/>
      <name val="Geomanist"/>
      <family val="3"/>
    </font>
    <font>
      <i/>
      <sz val="10"/>
      <color theme="1"/>
      <name val="Geomanist"/>
      <family val="3"/>
    </font>
    <font>
      <sz val="10"/>
      <color theme="1"/>
      <name val="Geomanist"/>
      <family val="3"/>
    </font>
    <font>
      <b/>
      <sz val="10"/>
      <color theme="1"/>
      <name val="Geomanist"/>
      <family val="3"/>
    </font>
    <font>
      <sz val="9"/>
      <color theme="1"/>
      <name val="Geomanist"/>
      <family val="3"/>
    </font>
    <font>
      <sz val="10"/>
      <name val="Geomanist"/>
      <family val="3"/>
    </font>
    <font>
      <sz val="10"/>
      <color theme="1"/>
      <name val="Heuristica"/>
      <family val="1"/>
    </font>
    <font>
      <b/>
      <sz val="10"/>
      <color theme="1"/>
      <name val="Heuristica"/>
      <family val="1"/>
    </font>
    <font>
      <sz val="10"/>
      <color rgb="FFFF0000"/>
      <name val="Heuristica"/>
      <family val="1"/>
    </font>
    <font>
      <sz val="10"/>
      <name val="Heuristica"/>
      <family val="1"/>
    </font>
    <font>
      <sz val="9"/>
      <color theme="1"/>
      <name val="Heuristica"/>
      <family val="1"/>
    </font>
    <font>
      <b/>
      <sz val="9"/>
      <color theme="1"/>
      <name val="Heuristica"/>
      <family val="1"/>
    </font>
    <font>
      <sz val="14"/>
      <color theme="1"/>
      <name val="Geomanist"/>
      <family val="3"/>
    </font>
    <font>
      <b/>
      <sz val="10"/>
      <name val="Geomanist"/>
      <family val="3"/>
    </font>
    <font>
      <b/>
      <i/>
      <sz val="10"/>
      <color theme="1"/>
      <name val="Geomanist"/>
      <family val="3"/>
    </font>
    <font>
      <sz val="10"/>
      <color theme="1"/>
      <name val="Calibri"/>
      <family val="2"/>
      <scheme val="minor"/>
    </font>
    <font>
      <b/>
      <sz val="10"/>
      <color theme="0"/>
      <name val="Heuristica"/>
      <family val="1"/>
    </font>
    <font>
      <b/>
      <sz val="10"/>
      <color theme="0"/>
      <name val="Geomanist Bold"/>
      <family val="3"/>
    </font>
    <font>
      <sz val="10"/>
      <color rgb="FF006E59"/>
      <name val="Geomanist"/>
      <family val="3"/>
    </font>
    <font>
      <sz val="10"/>
      <color rgb="FF006E59"/>
      <name val="Geomanist Bold"/>
      <family val="3"/>
    </font>
    <font>
      <sz val="10"/>
      <color theme="1"/>
      <name val="Geomanist Bold"/>
      <family val="3"/>
    </font>
    <font>
      <b/>
      <sz val="10"/>
      <color rgb="FF006E59"/>
      <name val="Heuristica"/>
      <family val="1"/>
    </font>
    <font>
      <sz val="14"/>
      <color rgb="FF006E59"/>
      <name val="Geomanist"/>
      <family val="3"/>
    </font>
    <font>
      <b/>
      <sz val="10"/>
      <color rgb="FF006E59"/>
      <name val="Geomanist Bold"/>
      <family val="3"/>
    </font>
    <font>
      <sz val="9"/>
      <color theme="1" tint="0.249977111117893"/>
      <name val="Heuristica"/>
      <family val="1"/>
    </font>
    <font>
      <b/>
      <sz val="9"/>
      <color theme="1" tint="0.249977111117893"/>
      <name val="Heuristica"/>
      <family val="1"/>
    </font>
    <font>
      <b/>
      <sz val="9"/>
      <color theme="1" tint="0.34998626667073579"/>
      <name val="Heuristica"/>
      <family val="1"/>
    </font>
    <font>
      <sz val="10"/>
      <color theme="1" tint="0.34998626667073579"/>
      <name val="Geomanist"/>
      <family val="3"/>
    </font>
    <font>
      <b/>
      <sz val="9"/>
      <color rgb="FF006E59"/>
      <name val="Geomanist"/>
      <family val="3"/>
    </font>
    <font>
      <b/>
      <sz val="16"/>
      <color rgb="FF006E59"/>
      <name val="Geomanist Bold"/>
      <family val="3"/>
    </font>
    <font>
      <b/>
      <sz val="12"/>
      <color theme="0"/>
      <name val="Geomanist Bold"/>
      <family val="3"/>
    </font>
    <font>
      <sz val="16"/>
      <color rgb="FF006E59"/>
      <name val="Geomanist Bold"/>
      <family val="3"/>
    </font>
    <font>
      <b/>
      <i/>
      <sz val="9"/>
      <color theme="1" tint="0.34998626667073579"/>
      <name val="Heuristica"/>
      <family val="1"/>
    </font>
    <font>
      <b/>
      <sz val="10"/>
      <color theme="1" tint="0.249977111117893"/>
      <name val="Heuristica"/>
      <family val="1"/>
    </font>
    <font>
      <b/>
      <i/>
      <sz val="9"/>
      <color theme="1" tint="0.249977111117893"/>
      <name val="Heuristica"/>
      <family val="1"/>
    </font>
    <font>
      <b/>
      <i/>
      <sz val="9"/>
      <color theme="1"/>
      <name val="Heuristica"/>
      <family val="1"/>
    </font>
    <font>
      <b/>
      <i/>
      <sz val="9"/>
      <color rgb="FFC00000"/>
      <name val="Heuristica"/>
      <family val="1"/>
    </font>
    <font>
      <b/>
      <sz val="9"/>
      <color rgb="FFC00000"/>
      <name val="Heuristica"/>
      <family val="1"/>
    </font>
    <font>
      <sz val="10"/>
      <color theme="1"/>
      <name val="Hey"/>
    </font>
    <font>
      <sz val="10"/>
      <color theme="1" tint="0.249977111117893"/>
      <name val="Hey"/>
    </font>
    <font>
      <u/>
      <sz val="9"/>
      <color theme="1" tint="0.249977111117893"/>
      <name val="Heuristica"/>
      <family val="1"/>
    </font>
    <font>
      <b/>
      <i/>
      <sz val="10"/>
      <color rgb="FFC00000"/>
      <name val="Heuristica"/>
      <family val="1"/>
    </font>
    <font>
      <b/>
      <sz val="10.5"/>
      <color theme="1"/>
      <name val="Heuristica"/>
      <family val="1"/>
    </font>
    <font>
      <sz val="10"/>
      <color rgb="FFFF0000"/>
      <name val="Geomanist"/>
      <family val="3"/>
    </font>
    <font>
      <b/>
      <sz val="9"/>
      <color rgb="FF404040"/>
      <name val="Heuristica"/>
      <family val="1"/>
    </font>
    <font>
      <b/>
      <sz val="10"/>
      <color rgb="FF404040"/>
      <name val="Heuristica"/>
      <family val="1"/>
    </font>
    <font>
      <sz val="10"/>
      <color theme="1"/>
      <name val="Arial"/>
      <family val="2"/>
    </font>
    <font>
      <b/>
      <sz val="12"/>
      <color rgb="FF006E59"/>
      <name val="Heuristica"/>
      <family val="1"/>
    </font>
    <font>
      <b/>
      <sz val="11"/>
      <color rgb="FF006E59"/>
      <name val="Geomanist"/>
      <family val="3"/>
    </font>
    <font>
      <b/>
      <sz val="11"/>
      <color theme="0"/>
      <name val="Geomanist"/>
      <family val="3"/>
    </font>
    <font>
      <i/>
      <sz val="11"/>
      <color theme="1"/>
      <name val="Geomanist"/>
      <family val="3"/>
    </font>
    <font>
      <sz val="11"/>
      <color rgb="FF006E59"/>
      <name val="Geomanist"/>
      <family val="3"/>
    </font>
    <font>
      <sz val="11"/>
      <color theme="1"/>
      <name val="Heuristica"/>
      <family val="1"/>
    </font>
    <font>
      <sz val="11"/>
      <name val="Heuristica"/>
      <family val="1"/>
    </font>
    <font>
      <sz val="11"/>
      <color rgb="FFFF0000"/>
      <name val="Heuristica"/>
      <family val="1"/>
    </font>
    <font>
      <sz val="11"/>
      <color rgb="FFFF5050"/>
      <name val="Heuristica"/>
      <family val="1"/>
    </font>
    <font>
      <b/>
      <sz val="11"/>
      <color theme="1"/>
      <name val="Geomanist"/>
      <family val="3"/>
    </font>
    <font>
      <b/>
      <sz val="11"/>
      <name val="Geomanist"/>
      <family val="3"/>
    </font>
    <font>
      <sz val="11"/>
      <name val="Cambria"/>
      <family val="1"/>
    </font>
    <font>
      <sz val="11"/>
      <color rgb="FFFF0000"/>
      <name val="Cambria"/>
      <family val="1"/>
    </font>
    <font>
      <b/>
      <sz val="11"/>
      <color rgb="FFFFFFFF"/>
      <name val="Geomanist"/>
      <family val="3"/>
    </font>
    <font>
      <sz val="11"/>
      <color rgb="FF000000"/>
      <name val="Heuristica"/>
      <family val="1"/>
    </font>
    <font>
      <sz val="11"/>
      <color rgb="FF242424"/>
      <name val="Heuristica"/>
      <family val="1"/>
    </font>
    <font>
      <b/>
      <sz val="20"/>
      <color theme="1"/>
      <name val="Heuristica"/>
      <family val="1"/>
    </font>
    <font>
      <b/>
      <sz val="20"/>
      <color rgb="FF006E59"/>
      <name val="Heuristica"/>
      <family val="1"/>
    </font>
    <font>
      <b/>
      <sz val="20"/>
      <color rgb="FFD4C029"/>
      <name val="Heuristica"/>
      <family val="1"/>
    </font>
    <font>
      <b/>
      <sz val="11"/>
      <color theme="0"/>
      <name val="Geomanist "/>
    </font>
    <font>
      <b/>
      <sz val="12"/>
      <color rgb="FF206E63"/>
      <name val="Heuristica"/>
      <family val="1"/>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206E63"/>
        <bgColor indexed="64"/>
      </patternFill>
    </fill>
    <fill>
      <patternFill patternType="solid">
        <fgColor rgb="FF006E59"/>
        <bgColor indexed="64"/>
      </patternFill>
    </fill>
    <fill>
      <patternFill patternType="solid">
        <fgColor theme="1" tint="0.34998626667073579"/>
        <bgColor indexed="64"/>
      </patternFill>
    </fill>
    <fill>
      <patternFill patternType="solid">
        <fgColor rgb="FFD4C029"/>
        <bgColor indexed="64"/>
      </patternFill>
    </fill>
    <fill>
      <patternFill patternType="solid">
        <fgColor theme="0"/>
        <bgColor indexed="64"/>
      </patternFill>
    </fill>
    <fill>
      <patternFill patternType="solid">
        <fgColor theme="1" tint="0.249977111117893"/>
        <bgColor indexed="64"/>
      </patternFill>
    </fill>
    <fill>
      <patternFill patternType="solid">
        <fgColor rgb="FF40404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s>
  <cellStyleXfs count="435">
    <xf numFmtId="0" fontId="0" fillId="0" borderId="0"/>
    <xf numFmtId="9" fontId="3" fillId="0" borderId="0" applyFont="0" applyFill="0" applyBorder="0" applyAlignment="0" applyProtection="0"/>
    <xf numFmtId="0" fontId="7" fillId="0" borderId="0"/>
    <xf numFmtId="0" fontId="8" fillId="0" borderId="0"/>
    <xf numFmtId="43" fontId="8" fillId="0" borderId="0" applyFont="0" applyFill="0" applyBorder="0" applyAlignment="0" applyProtection="0"/>
    <xf numFmtId="0" fontId="3" fillId="0" borderId="0"/>
    <xf numFmtId="0" fontId="7" fillId="0" borderId="0"/>
    <xf numFmtId="43" fontId="3" fillId="0" borderId="0" applyFont="0" applyFill="0" applyBorder="0" applyAlignment="0" applyProtection="0"/>
    <xf numFmtId="16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37" borderId="0" applyNumberFormat="0" applyBorder="0" applyAlignment="0" applyProtection="0"/>
    <xf numFmtId="0" fontId="24" fillId="36" borderId="0" applyNumberFormat="0" applyBorder="0" applyAlignment="0" applyProtection="0"/>
    <xf numFmtId="0" fontId="24" fillId="42" borderId="0" applyNumberFormat="0" applyBorder="0" applyAlignment="0" applyProtection="0"/>
    <xf numFmtId="0" fontId="24" fillId="44" borderId="0" applyNumberFormat="0" applyBorder="0" applyAlignment="0" applyProtection="0"/>
    <xf numFmtId="0" fontId="25" fillId="45" borderId="0" applyNumberFormat="0" applyBorder="0" applyAlignment="0" applyProtection="0"/>
    <xf numFmtId="0" fontId="25" fillId="43"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39"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50" borderId="0" applyNumberFormat="0" applyBorder="0" applyAlignment="0" applyProtection="0"/>
    <xf numFmtId="0" fontId="26" fillId="34" borderId="0" applyNumberFormat="0" applyBorder="0" applyAlignment="0" applyProtection="0"/>
    <xf numFmtId="0" fontId="27" fillId="51" borderId="27" applyNumberFormat="0" applyAlignment="0" applyProtection="0"/>
    <xf numFmtId="0" fontId="28" fillId="52" borderId="28" applyNumberFormat="0" applyAlignment="0" applyProtection="0"/>
    <xf numFmtId="0" fontId="29" fillId="0" borderId="0" applyNumberFormat="0" applyFill="0" applyBorder="0" applyAlignment="0" applyProtection="0"/>
    <xf numFmtId="0" fontId="30" fillId="35" borderId="0" applyNumberFormat="0" applyBorder="0" applyAlignment="0" applyProtection="0"/>
    <xf numFmtId="0" fontId="31" fillId="0" borderId="29"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4" fillId="41" borderId="27" applyNumberFormat="0" applyAlignment="0" applyProtection="0"/>
    <xf numFmtId="0" fontId="35" fillId="0" borderId="32" applyNumberFormat="0" applyFill="0" applyAlignment="0" applyProtection="0"/>
    <xf numFmtId="0" fontId="36" fillId="53" borderId="0" applyNumberFormat="0" applyBorder="0" applyAlignment="0" applyProtection="0"/>
    <xf numFmtId="0" fontId="24" fillId="54" borderId="33" applyNumberFormat="0" applyFont="0" applyAlignment="0" applyProtection="0"/>
    <xf numFmtId="0" fontId="37" fillId="51" borderId="34" applyNumberFormat="0" applyAlignment="0" applyProtection="0"/>
    <xf numFmtId="0" fontId="38" fillId="0" borderId="0" applyNumberFormat="0" applyFill="0" applyBorder="0" applyAlignment="0" applyProtection="0"/>
    <xf numFmtId="0" fontId="39" fillId="0" borderId="35" applyNumberFormat="0" applyFill="0" applyAlignment="0" applyProtection="0"/>
    <xf numFmtId="0" fontId="4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8" borderId="2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7" fillId="51" borderId="27" applyNumberFormat="0" applyAlignment="0" applyProtection="0"/>
    <xf numFmtId="0" fontId="27" fillId="51" borderId="27" applyNumberFormat="0" applyAlignment="0" applyProtection="0"/>
    <xf numFmtId="0" fontId="28" fillId="52" borderId="28" applyNumberFormat="0" applyAlignment="0" applyProtection="0"/>
    <xf numFmtId="0" fontId="28" fillId="52" borderId="28"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1" fillId="0" borderId="29" applyNumberFormat="0" applyFill="0" applyAlignment="0" applyProtection="0"/>
    <xf numFmtId="0" fontId="31" fillId="0" borderId="29" applyNumberFormat="0" applyFill="0" applyAlignment="0" applyProtection="0"/>
    <xf numFmtId="0" fontId="32" fillId="0" borderId="30"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41" borderId="27" applyNumberFormat="0" applyAlignment="0" applyProtection="0"/>
    <xf numFmtId="0" fontId="34" fillId="41" borderId="27" applyNumberFormat="0" applyAlignment="0" applyProtection="0"/>
    <xf numFmtId="0" fontId="35" fillId="0" borderId="32" applyNumberFormat="0" applyFill="0" applyAlignment="0" applyProtection="0"/>
    <xf numFmtId="0" fontId="35" fillId="0" borderId="32" applyNumberFormat="0" applyFill="0" applyAlignment="0" applyProtection="0"/>
    <xf numFmtId="0" fontId="36" fillId="53" borderId="0" applyNumberFormat="0" applyBorder="0" applyAlignment="0" applyProtection="0"/>
    <xf numFmtId="0" fontId="36" fillId="5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37" fillId="51" borderId="34" applyNumberFormat="0" applyAlignment="0" applyProtection="0"/>
    <xf numFmtId="0" fontId="37" fillId="51" borderId="34" applyNumberFormat="0" applyAlignment="0" applyProtection="0"/>
    <xf numFmtId="9"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35" applyNumberFormat="0" applyFill="0" applyAlignment="0" applyProtection="0"/>
    <xf numFmtId="0" fontId="39" fillId="0" borderId="35"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43" fontId="24" fillId="0" borderId="0" applyFont="0" applyFill="0" applyBorder="0" applyAlignment="0" applyProtection="0"/>
    <xf numFmtId="0" fontId="8" fillId="0" borderId="0"/>
    <xf numFmtId="0" fontId="3" fillId="0" borderId="0"/>
    <xf numFmtId="0" fontId="8" fillId="0" borderId="0"/>
    <xf numFmtId="0" fontId="3" fillId="0" borderId="0"/>
    <xf numFmtId="0" fontId="8"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13" fillId="3" borderId="0" applyNumberFormat="0" applyBorder="0" applyAlignment="0" applyProtection="0"/>
    <xf numFmtId="0" fontId="17" fillId="6" borderId="21" applyNumberFormat="0" applyAlignment="0" applyProtection="0"/>
    <xf numFmtId="0" fontId="19" fillId="7" borderId="24"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43" fillId="0" borderId="0" applyFont="0" applyFill="0" applyBorder="0" applyAlignment="0" applyProtection="0">
      <alignment vertical="top"/>
    </xf>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1" fillId="0" borderId="0" applyNumberFormat="0" applyFill="0" applyBorder="0" applyAlignment="0" applyProtection="0"/>
    <xf numFmtId="0" fontId="12" fillId="2" borderId="0" applyNumberFormat="0" applyBorder="0" applyAlignment="0" applyProtection="0"/>
    <xf numFmtId="0" fontId="9" fillId="0" borderId="18" applyNumberFormat="0" applyFill="0" applyAlignment="0" applyProtection="0"/>
    <xf numFmtId="0" fontId="10" fillId="0" borderId="19" applyNumberFormat="0" applyFill="0" applyAlignment="0" applyProtection="0"/>
    <xf numFmtId="0" fontId="11" fillId="0" borderId="20" applyNumberFormat="0" applyFill="0" applyAlignment="0" applyProtection="0"/>
    <xf numFmtId="0" fontId="11" fillId="0" borderId="0" applyNumberFormat="0" applyFill="0" applyBorder="0" applyAlignment="0" applyProtection="0"/>
    <xf numFmtId="0" fontId="15" fillId="5" borderId="21" applyNumberFormat="0" applyAlignment="0" applyProtection="0"/>
    <xf numFmtId="0" fontId="18" fillId="0" borderId="23" applyNumberFormat="0" applyFill="0" applyAlignment="0" applyProtection="0"/>
    <xf numFmtId="0" fontId="14" fillId="4" borderId="0" applyNumberFormat="0" applyBorder="0" applyAlignment="0" applyProtection="0"/>
    <xf numFmtId="0" fontId="43" fillId="0" borderId="0">
      <alignment vertical="top"/>
    </xf>
    <xf numFmtId="0" fontId="3" fillId="8" borderId="25" applyNumberFormat="0" applyFont="0" applyAlignment="0" applyProtection="0"/>
    <xf numFmtId="0" fontId="16" fillId="6" borderId="22" applyNumberFormat="0" applyAlignment="0" applyProtection="0"/>
    <xf numFmtId="9" fontId="24" fillId="0" borderId="0" applyFont="0" applyFill="0" applyBorder="0" applyAlignment="0" applyProtection="0"/>
    <xf numFmtId="0" fontId="42" fillId="0" borderId="0" applyNumberFormat="0" applyFill="0" applyBorder="0" applyAlignment="0" applyProtection="0"/>
    <xf numFmtId="0" fontId="22" fillId="0" borderId="26" applyNumberFormat="0" applyFill="0" applyAlignment="0" applyProtection="0"/>
    <xf numFmtId="0" fontId="20" fillId="0" borderId="0" applyNumberFormat="0" applyFill="0" applyBorder="0" applyAlignment="0" applyProtection="0"/>
    <xf numFmtId="44" fontId="45" fillId="0" borderId="0" applyFont="0" applyFill="0" applyBorder="0" applyAlignment="0" applyProtection="0"/>
    <xf numFmtId="0" fontId="46" fillId="0" borderId="0"/>
    <xf numFmtId="172" fontId="3" fillId="0" borderId="0"/>
    <xf numFmtId="0" fontId="46" fillId="0" borderId="0"/>
    <xf numFmtId="0" fontId="47" fillId="0" borderId="0"/>
    <xf numFmtId="44" fontId="45" fillId="0" borderId="0" applyFont="0" applyFill="0" applyBorder="0" applyAlignment="0" applyProtection="0"/>
    <xf numFmtId="0" fontId="45" fillId="0" borderId="0"/>
    <xf numFmtId="43" fontId="45" fillId="0" borderId="0" applyFont="0" applyFill="0" applyBorder="0" applyAlignment="0" applyProtection="0"/>
    <xf numFmtId="9" fontId="45" fillId="0" borderId="0" applyFont="0" applyFill="0" applyBorder="0" applyAlignment="0" applyProtection="0"/>
  </cellStyleXfs>
  <cellXfs count="851">
    <xf numFmtId="0" fontId="0" fillId="0" borderId="0" xfId="0"/>
    <xf numFmtId="0" fontId="1" fillId="0" borderId="0" xfId="0" applyFont="1"/>
    <xf numFmtId="0" fontId="2" fillId="0" borderId="0" xfId="0" applyFont="1" applyAlignment="1">
      <alignment horizontal="right"/>
    </xf>
    <xf numFmtId="0" fontId="2" fillId="0" borderId="0" xfId="0" applyFont="1" applyAlignment="1">
      <alignment horizontal="center"/>
    </xf>
    <xf numFmtId="0" fontId="2" fillId="0" borderId="0" xfId="0" applyFont="1"/>
    <xf numFmtId="0" fontId="4" fillId="0" borderId="0" xfId="0" applyFont="1"/>
    <xf numFmtId="0" fontId="5" fillId="0" borderId="0" xfId="0" applyFont="1"/>
    <xf numFmtId="0" fontId="5" fillId="0" borderId="0" xfId="0" applyFont="1" applyAlignment="1">
      <alignment horizontal="center" vertical="center"/>
    </xf>
    <xf numFmtId="0" fontId="5" fillId="0" borderId="0" xfId="0" applyFont="1" applyAlignment="1">
      <alignment horizontal="right"/>
    </xf>
    <xf numFmtId="0" fontId="5" fillId="0" borderId="6" xfId="0" applyFont="1" applyBorder="1" applyAlignment="1">
      <alignment horizontal="center" vertical="center"/>
    </xf>
    <xf numFmtId="0" fontId="5" fillId="0" borderId="7" xfId="0" applyFont="1" applyBorder="1" applyAlignment="1">
      <alignment horizontal="center"/>
    </xf>
    <xf numFmtId="0" fontId="5" fillId="0" borderId="8" xfId="0" applyFont="1" applyBorder="1" applyAlignment="1">
      <alignment horizontal="center"/>
    </xf>
    <xf numFmtId="0" fontId="5" fillId="0" borderId="5" xfId="0" applyFont="1" applyBorder="1" applyAlignment="1">
      <alignment horizontal="center"/>
    </xf>
    <xf numFmtId="0" fontId="5" fillId="0" borderId="9" xfId="0" applyFont="1" applyBorder="1" applyAlignment="1">
      <alignment horizontal="center"/>
    </xf>
    <xf numFmtId="40" fontId="5" fillId="0" borderId="10" xfId="0" applyNumberFormat="1" applyFont="1" applyBorder="1" applyAlignment="1">
      <alignment horizontal="right"/>
    </xf>
    <xf numFmtId="0" fontId="4" fillId="0" borderId="5" xfId="0" applyFont="1" applyBorder="1" applyAlignment="1">
      <alignment horizontal="center"/>
    </xf>
    <xf numFmtId="0" fontId="4" fillId="0" borderId="9" xfId="0" applyFont="1" applyBorder="1" applyAlignment="1">
      <alignment horizontal="center"/>
    </xf>
    <xf numFmtId="40" fontId="4" fillId="0" borderId="6" xfId="0" applyNumberFormat="1" applyFont="1" applyBorder="1" applyAlignment="1">
      <alignment horizontal="right"/>
    </xf>
    <xf numFmtId="40" fontId="4" fillId="0" borderId="0" xfId="0" applyNumberFormat="1" applyFont="1"/>
    <xf numFmtId="40" fontId="5" fillId="0" borderId="8" xfId="0" applyNumberFormat="1" applyFont="1" applyBorder="1" applyAlignment="1">
      <alignment horizontal="right"/>
    </xf>
    <xf numFmtId="40" fontId="4" fillId="0" borderId="9" xfId="0" applyNumberFormat="1" applyFont="1" applyBorder="1" applyAlignment="1">
      <alignment horizontal="right"/>
    </xf>
    <xf numFmtId="0" fontId="5" fillId="0" borderId="1" xfId="0" applyFont="1" applyBorder="1" applyAlignment="1">
      <alignment horizontal="center" vertical="center" wrapText="1"/>
    </xf>
    <xf numFmtId="38" fontId="5" fillId="0" borderId="8" xfId="0" applyNumberFormat="1" applyFont="1" applyBorder="1" applyAlignment="1">
      <alignment horizontal="right" vertical="center"/>
    </xf>
    <xf numFmtId="38" fontId="5" fillId="0" borderId="10" xfId="0" applyNumberFormat="1" applyFont="1" applyBorder="1" applyAlignment="1">
      <alignment horizontal="right" vertical="center"/>
    </xf>
    <xf numFmtId="38" fontId="5" fillId="0" borderId="6" xfId="0" applyNumberFormat="1" applyFont="1" applyBorder="1" applyAlignment="1">
      <alignment horizontal="right" vertical="center"/>
    </xf>
    <xf numFmtId="38" fontId="5" fillId="0" borderId="9" xfId="0" applyNumberFormat="1" applyFont="1" applyBorder="1" applyAlignment="1">
      <alignment horizontal="right" vertical="center"/>
    </xf>
    <xf numFmtId="38" fontId="5" fillId="0" borderId="0" xfId="0" applyNumberFormat="1" applyFont="1" applyAlignment="1">
      <alignment horizontal="right" vertical="center"/>
    </xf>
    <xf numFmtId="38" fontId="5" fillId="0" borderId="4" xfId="0" applyNumberFormat="1" applyFont="1" applyBorder="1" applyAlignment="1">
      <alignment horizontal="right" vertical="center"/>
    </xf>
    <xf numFmtId="0" fontId="5" fillId="0" borderId="0" xfId="0" applyFont="1" applyAlignment="1">
      <alignment horizontal="center" vertical="center" textRotation="180"/>
    </xf>
    <xf numFmtId="0" fontId="5" fillId="0" borderId="0" xfId="0" applyFont="1" applyAlignment="1">
      <alignment horizontal="center" vertical="center" textRotation="180" wrapText="1"/>
    </xf>
    <xf numFmtId="3" fontId="5" fillId="0" borderId="6" xfId="0" applyNumberFormat="1" applyFont="1" applyBorder="1" applyAlignment="1">
      <alignment horizontal="right" vertical="center" indent="1"/>
    </xf>
    <xf numFmtId="3" fontId="5" fillId="0" borderId="6" xfId="0" applyNumberFormat="1" applyFont="1" applyBorder="1" applyAlignment="1">
      <alignment horizontal="right" indent="1"/>
    </xf>
    <xf numFmtId="4" fontId="5" fillId="0" borderId="0" xfId="0" applyNumberFormat="1" applyFont="1"/>
    <xf numFmtId="0" fontId="5" fillId="0" borderId="0" xfId="0" applyFont="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40" fontId="5" fillId="0" borderId="0" xfId="0" applyNumberFormat="1" applyFont="1" applyAlignment="1">
      <alignment horizontal="right"/>
    </xf>
    <xf numFmtId="40" fontId="5" fillId="0" borderId="6" xfId="0" applyNumberFormat="1" applyFont="1" applyBorder="1" applyAlignment="1">
      <alignment horizontal="right"/>
    </xf>
    <xf numFmtId="40" fontId="5" fillId="0" borderId="4" xfId="0" applyNumberFormat="1" applyFont="1" applyBorder="1" applyAlignment="1">
      <alignment horizontal="right"/>
    </xf>
    <xf numFmtId="40" fontId="5" fillId="0" borderId="6" xfId="0" applyNumberFormat="1" applyFont="1" applyBorder="1" applyAlignment="1">
      <alignment horizontal="center"/>
    </xf>
    <xf numFmtId="40" fontId="5" fillId="0" borderId="4" xfId="0" applyNumberFormat="1" applyFont="1" applyBorder="1" applyAlignment="1">
      <alignment horizontal="center"/>
    </xf>
    <xf numFmtId="3" fontId="5" fillId="0" borderId="0" xfId="0" applyNumberFormat="1" applyFont="1" applyAlignment="1">
      <alignment horizontal="right"/>
    </xf>
    <xf numFmtId="3" fontId="5" fillId="0" borderId="10" xfId="0" applyNumberFormat="1" applyFont="1" applyBorder="1" applyAlignment="1">
      <alignment horizontal="right" vertical="center"/>
    </xf>
    <xf numFmtId="3" fontId="5" fillId="0" borderId="0" xfId="0" applyNumberFormat="1" applyFont="1" applyAlignment="1">
      <alignment horizontal="right" vertical="center"/>
    </xf>
    <xf numFmtId="3" fontId="5" fillId="0" borderId="10" xfId="0" applyNumberFormat="1" applyFont="1" applyBorder="1" applyAlignment="1">
      <alignment horizontal="right"/>
    </xf>
    <xf numFmtId="3" fontId="5" fillId="0" borderId="4" xfId="0" applyNumberFormat="1" applyFont="1" applyBorder="1" applyAlignment="1">
      <alignment horizontal="right"/>
    </xf>
    <xf numFmtId="3" fontId="5" fillId="0" borderId="6" xfId="0" applyNumberFormat="1" applyFont="1" applyBorder="1" applyAlignment="1">
      <alignment horizontal="right" vertical="center"/>
    </xf>
    <xf numFmtId="3" fontId="5" fillId="0" borderId="4" xfId="0" applyNumberFormat="1" applyFont="1" applyBorder="1" applyAlignment="1">
      <alignment horizontal="right" vertical="center"/>
    </xf>
    <xf numFmtId="3" fontId="5" fillId="0" borderId="6" xfId="0" applyNumberFormat="1" applyFont="1" applyBorder="1" applyAlignment="1">
      <alignment horizontal="right"/>
    </xf>
    <xf numFmtId="3" fontId="5" fillId="0" borderId="7" xfId="0" applyNumberFormat="1" applyFont="1" applyBorder="1" applyAlignment="1">
      <alignment horizontal="right"/>
    </xf>
    <xf numFmtId="3" fontId="5" fillId="0" borderId="8" xfId="0" applyNumberFormat="1" applyFont="1" applyBorder="1" applyAlignment="1">
      <alignment horizontal="right"/>
    </xf>
    <xf numFmtId="3" fontId="5" fillId="0" borderId="5" xfId="0" applyNumberFormat="1" applyFont="1" applyBorder="1" applyAlignment="1">
      <alignment horizontal="right"/>
    </xf>
    <xf numFmtId="0" fontId="5" fillId="0" borderId="4" xfId="0" applyFont="1" applyBorder="1" applyAlignment="1">
      <alignment horizontal="center" vertical="center" textRotation="180" wrapText="1"/>
    </xf>
    <xf numFmtId="3" fontId="5" fillId="0" borderId="9" xfId="0" applyNumberFormat="1" applyFont="1" applyBorder="1" applyAlignment="1">
      <alignment horizontal="right"/>
    </xf>
    <xf numFmtId="3" fontId="5" fillId="0" borderId="10" xfId="0" applyNumberFormat="1" applyFont="1" applyBorder="1" applyAlignment="1">
      <alignment horizontal="right" indent="1"/>
    </xf>
    <xf numFmtId="3" fontId="5" fillId="0" borderId="10" xfId="0" applyNumberFormat="1" applyFont="1" applyBorder="1" applyAlignment="1">
      <alignment horizontal="right" vertical="center" indent="1"/>
    </xf>
    <xf numFmtId="0" fontId="5" fillId="0" borderId="1" xfId="0" applyFont="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xf numFmtId="0" fontId="44" fillId="0" borderId="0" xfId="0" applyFont="1" applyProtection="1">
      <protection locked="0"/>
    </xf>
    <xf numFmtId="43" fontId="44" fillId="0" borderId="0" xfId="7" applyFont="1" applyAlignment="1" applyProtection="1">
      <alignment horizontal="right"/>
      <protection locked="0"/>
    </xf>
    <xf numFmtId="43" fontId="44" fillId="0" borderId="0" xfId="0" applyNumberFormat="1" applyFont="1" applyAlignment="1" applyProtection="1">
      <alignment horizontal="right"/>
      <protection locked="0"/>
    </xf>
    <xf numFmtId="40" fontId="44" fillId="0" borderId="0" xfId="0" applyNumberFormat="1" applyFont="1" applyAlignment="1" applyProtection="1">
      <alignment horizontal="right"/>
      <protection locked="0"/>
    </xf>
    <xf numFmtId="2" fontId="44" fillId="0" borderId="0" xfId="0" applyNumberFormat="1" applyFont="1" applyAlignment="1" applyProtection="1">
      <alignment horizontal="right"/>
      <protection locked="0"/>
    </xf>
    <xf numFmtId="10" fontId="44" fillId="0" borderId="0" xfId="1" applyNumberFormat="1" applyFont="1" applyAlignment="1" applyProtection="1">
      <alignment horizontal="right"/>
      <protection locked="0"/>
    </xf>
    <xf numFmtId="0" fontId="50" fillId="0" borderId="0" xfId="0" applyFont="1" applyProtection="1">
      <protection locked="0"/>
    </xf>
    <xf numFmtId="0" fontId="50" fillId="0" borderId="0" xfId="0" applyFont="1" applyAlignment="1" applyProtection="1">
      <alignment horizontal="center" vertical="center"/>
      <protection locked="0"/>
    </xf>
    <xf numFmtId="0" fontId="50" fillId="0" borderId="0" xfId="0" applyFont="1" applyAlignment="1" applyProtection="1">
      <alignment horizontal="center"/>
      <protection locked="0"/>
    </xf>
    <xf numFmtId="0" fontId="51" fillId="0" borderId="0" xfId="0" applyFont="1" applyProtection="1">
      <protection locked="0"/>
    </xf>
    <xf numFmtId="0" fontId="49" fillId="0" borderId="0" xfId="0" applyFont="1" applyProtection="1">
      <protection locked="0"/>
    </xf>
    <xf numFmtId="0" fontId="48" fillId="0" borderId="0" xfId="0" applyFont="1" applyProtection="1">
      <protection locked="0"/>
    </xf>
    <xf numFmtId="2" fontId="50" fillId="0" borderId="0" xfId="0" applyNumberFormat="1" applyFont="1" applyProtection="1">
      <protection locked="0"/>
    </xf>
    <xf numFmtId="40" fontId="50" fillId="0" borderId="0" xfId="0" applyNumberFormat="1" applyFont="1" applyProtection="1">
      <protection locked="0"/>
    </xf>
    <xf numFmtId="43" fontId="50" fillId="0" borderId="0" xfId="7" applyFont="1" applyProtection="1">
      <protection locked="0"/>
    </xf>
    <xf numFmtId="4" fontId="50" fillId="0" borderId="0" xfId="0" applyNumberFormat="1" applyFont="1" applyProtection="1">
      <protection locked="0"/>
    </xf>
    <xf numFmtId="168" fontId="50" fillId="0" borderId="0" xfId="0" applyNumberFormat="1" applyFont="1" applyProtection="1">
      <protection locked="0"/>
    </xf>
    <xf numFmtId="38" fontId="50" fillId="0" borderId="0" xfId="0" applyNumberFormat="1" applyFont="1" applyProtection="1">
      <protection locked="0"/>
    </xf>
    <xf numFmtId="4" fontId="50" fillId="0" borderId="0" xfId="0" applyNumberFormat="1" applyFont="1" applyAlignment="1" applyProtection="1">
      <alignment horizontal="right" vertical="center" indent="1"/>
      <protection locked="0"/>
    </xf>
    <xf numFmtId="43" fontId="50" fillId="0" borderId="0" xfId="0" applyNumberFormat="1" applyFont="1" applyProtection="1">
      <protection locked="0"/>
    </xf>
    <xf numFmtId="0" fontId="52" fillId="0" borderId="0" xfId="0" applyFont="1" applyProtection="1">
      <protection locked="0"/>
    </xf>
    <xf numFmtId="3" fontId="50" fillId="0" borderId="0" xfId="0" applyNumberFormat="1" applyFont="1" applyProtection="1">
      <protection locked="0"/>
    </xf>
    <xf numFmtId="4" fontId="53" fillId="0" borderId="0" xfId="0" applyNumberFormat="1" applyFont="1" applyAlignment="1">
      <alignment horizontal="right" indent="1"/>
    </xf>
    <xf numFmtId="170" fontId="50" fillId="0" borderId="0" xfId="0" applyNumberFormat="1" applyFont="1" applyProtection="1">
      <protection locked="0"/>
    </xf>
    <xf numFmtId="0" fontId="49" fillId="0" borderId="4" xfId="0" applyFont="1" applyBorder="1" applyAlignment="1" applyProtection="1">
      <alignment vertical="center"/>
      <protection locked="0"/>
    </xf>
    <xf numFmtId="4" fontId="50" fillId="0" borderId="0" xfId="0" applyNumberFormat="1" applyFont="1" applyAlignment="1" applyProtection="1">
      <alignment horizontal="center" vertical="center"/>
      <protection locked="0"/>
    </xf>
    <xf numFmtId="43" fontId="50" fillId="0" borderId="0" xfId="7" applyFont="1" applyAlignment="1" applyProtection="1">
      <alignment horizontal="center"/>
      <protection locked="0"/>
    </xf>
    <xf numFmtId="166" fontId="50" fillId="0" borderId="0" xfId="0" applyNumberFormat="1" applyFont="1" applyProtection="1">
      <protection locked="0"/>
    </xf>
    <xf numFmtId="1" fontId="50" fillId="0" borderId="0" xfId="0" applyNumberFormat="1" applyFont="1" applyProtection="1">
      <protection locked="0"/>
    </xf>
    <xf numFmtId="171" fontId="50" fillId="0" borderId="0" xfId="0" applyNumberFormat="1" applyFont="1" applyAlignment="1" applyProtection="1">
      <alignment horizontal="right" indent="1"/>
      <protection locked="0"/>
    </xf>
    <xf numFmtId="0" fontId="50" fillId="0" borderId="8" xfId="0" applyFont="1" applyBorder="1" applyAlignment="1" applyProtection="1">
      <alignment horizontal="center"/>
      <protection locked="0"/>
    </xf>
    <xf numFmtId="171" fontId="50" fillId="0" borderId="0" xfId="0" applyNumberFormat="1" applyFont="1" applyProtection="1">
      <protection locked="0"/>
    </xf>
    <xf numFmtId="0" fontId="50" fillId="0" borderId="0" xfId="0" applyFont="1"/>
    <xf numFmtId="0" fontId="49" fillId="0" borderId="0" xfId="0" applyFont="1" applyAlignment="1" applyProtection="1">
      <alignment vertical="center"/>
      <protection locked="0"/>
    </xf>
    <xf numFmtId="168" fontId="50" fillId="0" borderId="0" xfId="0" applyNumberFormat="1" applyFont="1" applyAlignment="1" applyProtection="1">
      <alignment horizontal="center"/>
      <protection locked="0"/>
    </xf>
    <xf numFmtId="165" fontId="50" fillId="0" borderId="0" xfId="0" applyNumberFormat="1" applyFont="1" applyAlignment="1" applyProtection="1">
      <alignment horizontal="center" vertical="center"/>
      <protection locked="0"/>
    </xf>
    <xf numFmtId="0" fontId="54" fillId="0" borderId="7" xfId="0" applyFont="1" applyBorder="1" applyAlignment="1">
      <alignment horizontal="center"/>
    </xf>
    <xf numFmtId="0" fontId="54" fillId="0" borderId="8" xfId="0" applyFont="1" applyBorder="1" applyAlignment="1">
      <alignment horizontal="center"/>
    </xf>
    <xf numFmtId="40" fontId="54" fillId="0" borderId="10" xfId="0" applyNumberFormat="1" applyFont="1" applyBorder="1" applyAlignment="1">
      <alignment horizontal="center"/>
    </xf>
    <xf numFmtId="0" fontId="54" fillId="0" borderId="5" xfId="0" applyFont="1" applyBorder="1" applyAlignment="1">
      <alignment horizontal="center"/>
    </xf>
    <xf numFmtId="0" fontId="54" fillId="0" borderId="9" xfId="0" applyFont="1" applyBorder="1" applyAlignment="1">
      <alignment horizontal="center"/>
    </xf>
    <xf numFmtId="40" fontId="54" fillId="0" borderId="6" xfId="0" applyNumberFormat="1" applyFont="1" applyBorder="1" applyAlignment="1">
      <alignment horizontal="center"/>
    </xf>
    <xf numFmtId="0" fontId="54" fillId="0" borderId="0" xfId="0" applyFont="1" applyAlignment="1">
      <alignment horizontal="center"/>
    </xf>
    <xf numFmtId="9" fontId="54" fillId="0" borderId="10" xfId="1" applyFont="1" applyBorder="1" applyAlignment="1" applyProtection="1">
      <alignment horizontal="center"/>
    </xf>
    <xf numFmtId="9" fontId="54" fillId="0" borderId="6" xfId="1" applyFont="1" applyBorder="1" applyAlignment="1" applyProtection="1">
      <alignment horizontal="center"/>
    </xf>
    <xf numFmtId="4" fontId="54" fillId="0" borderId="0" xfId="0" applyNumberFormat="1" applyFont="1" applyProtection="1">
      <protection locked="0"/>
    </xf>
    <xf numFmtId="0" fontId="54" fillId="0" borderId="0" xfId="0" applyFont="1" applyProtection="1">
      <protection locked="0"/>
    </xf>
    <xf numFmtId="0" fontId="55" fillId="0" borderId="0" xfId="0" applyFont="1" applyProtection="1">
      <protection locked="0"/>
    </xf>
    <xf numFmtId="170" fontId="54" fillId="0" borderId="0" xfId="0" applyNumberFormat="1" applyFont="1" applyProtection="1">
      <protection locked="0"/>
    </xf>
    <xf numFmtId="4" fontId="57" fillId="0" borderId="10" xfId="0" applyNumberFormat="1" applyFont="1" applyBorder="1" applyAlignment="1">
      <alignment horizontal="center"/>
    </xf>
    <xf numFmtId="2" fontId="57" fillId="0" borderId="10" xfId="0" applyNumberFormat="1" applyFont="1" applyBorder="1" applyAlignment="1">
      <alignment horizontal="center"/>
    </xf>
    <xf numFmtId="2" fontId="54" fillId="0" borderId="0" xfId="0" applyNumberFormat="1" applyFont="1" applyProtection="1">
      <protection locked="0"/>
    </xf>
    <xf numFmtId="0" fontId="54" fillId="0" borderId="36" xfId="0" applyFont="1" applyBorder="1" applyProtection="1">
      <protection locked="0"/>
    </xf>
    <xf numFmtId="0" fontId="56" fillId="0" borderId="0" xfId="0" applyFont="1" applyProtection="1">
      <protection locked="0"/>
    </xf>
    <xf numFmtId="10" fontId="50" fillId="0" borderId="0" xfId="1" applyNumberFormat="1" applyFont="1" applyAlignment="1" applyProtection="1">
      <alignment horizontal="right"/>
      <protection locked="0"/>
    </xf>
    <xf numFmtId="0" fontId="60" fillId="0" borderId="0" xfId="0" applyFont="1" applyAlignment="1">
      <alignment vertical="center"/>
    </xf>
    <xf numFmtId="0" fontId="48" fillId="0" borderId="0" xfId="0" applyFont="1"/>
    <xf numFmtId="0" fontId="60" fillId="0" borderId="0" xfId="0" applyFont="1" applyAlignment="1">
      <alignment horizontal="center" vertical="center"/>
    </xf>
    <xf numFmtId="0" fontId="61" fillId="0" borderId="0" xfId="0" applyFont="1" applyAlignment="1" applyProtection="1">
      <alignment horizontal="center" vertical="center"/>
      <protection locked="0"/>
    </xf>
    <xf numFmtId="167" fontId="54" fillId="0" borderId="0" xfId="0" applyNumberFormat="1" applyFont="1" applyAlignment="1">
      <alignment horizontal="center"/>
    </xf>
    <xf numFmtId="0" fontId="63" fillId="0" borderId="0" xfId="0" applyFont="1"/>
    <xf numFmtId="0" fontId="54" fillId="0" borderId="0" xfId="0" applyFont="1"/>
    <xf numFmtId="0" fontId="69" fillId="58" borderId="0" xfId="0" applyFont="1" applyFill="1" applyAlignment="1">
      <alignment horizontal="right" vertical="center"/>
    </xf>
    <xf numFmtId="0" fontId="66" fillId="58" borderId="0" xfId="0" applyFont="1" applyFill="1" applyAlignment="1">
      <alignment horizontal="right" vertical="center"/>
    </xf>
    <xf numFmtId="0" fontId="60" fillId="58" borderId="0" xfId="0" applyFont="1" applyFill="1" applyAlignment="1">
      <alignment vertical="center"/>
    </xf>
    <xf numFmtId="0" fontId="69" fillId="58" borderId="0" xfId="0" applyFont="1" applyFill="1" applyAlignment="1">
      <alignment horizontal="center" vertical="center"/>
    </xf>
    <xf numFmtId="0" fontId="67" fillId="58" borderId="0" xfId="0" applyFont="1" applyFill="1" applyAlignment="1">
      <alignment horizontal="center" vertical="center"/>
    </xf>
    <xf numFmtId="0" fontId="66" fillId="58" borderId="0" xfId="0" applyFont="1" applyFill="1" applyAlignment="1">
      <alignment horizontal="center" vertical="center"/>
    </xf>
    <xf numFmtId="0" fontId="69" fillId="0" borderId="0" xfId="0" applyFont="1" applyAlignment="1">
      <alignment vertical="center"/>
    </xf>
    <xf numFmtId="0" fontId="68" fillId="0" borderId="0" xfId="0" applyFont="1" applyAlignment="1">
      <alignment vertical="center"/>
    </xf>
    <xf numFmtId="0" fontId="50" fillId="0" borderId="0" xfId="0" applyFont="1" applyAlignment="1">
      <alignment vertical="center"/>
    </xf>
    <xf numFmtId="0" fontId="69" fillId="59" borderId="0" xfId="0" applyFont="1" applyFill="1" applyAlignment="1">
      <alignment horizontal="left" vertical="center"/>
    </xf>
    <xf numFmtId="0" fontId="71" fillId="59" borderId="0" xfId="0" applyFont="1" applyFill="1" applyAlignment="1">
      <alignment horizontal="center" vertical="center"/>
    </xf>
    <xf numFmtId="0" fontId="65" fillId="58" borderId="0" xfId="0" applyFont="1" applyFill="1" applyAlignment="1">
      <alignment vertical="center"/>
    </xf>
    <xf numFmtId="0" fontId="65" fillId="58" borderId="0" xfId="0" applyFont="1" applyFill="1" applyAlignment="1">
      <alignment horizontal="center" vertical="center"/>
    </xf>
    <xf numFmtId="0" fontId="70" fillId="0" borderId="0" xfId="0" applyFont="1" applyAlignment="1">
      <alignment vertical="center"/>
    </xf>
    <xf numFmtId="0" fontId="50" fillId="0" borderId="0" xfId="0" applyFont="1" applyAlignment="1">
      <alignment vertical="center" wrapText="1"/>
    </xf>
    <xf numFmtId="0" fontId="50" fillId="0" borderId="0" xfId="0" applyFont="1" applyAlignment="1">
      <alignment vertical="top" wrapText="1"/>
    </xf>
    <xf numFmtId="0" fontId="50" fillId="0" borderId="0" xfId="0" applyFont="1" applyAlignment="1">
      <alignment horizontal="justify" vertical="center" wrapText="1"/>
    </xf>
    <xf numFmtId="0" fontId="50" fillId="0" borderId="0" xfId="0" applyFont="1" applyAlignment="1">
      <alignment vertical="top"/>
    </xf>
    <xf numFmtId="0" fontId="50" fillId="0" borderId="38" xfId="0" applyFont="1" applyBorder="1" applyAlignment="1">
      <alignment vertical="top" wrapText="1"/>
    </xf>
    <xf numFmtId="0" fontId="50" fillId="0" borderId="38" xfId="0" applyFont="1" applyBorder="1" applyAlignment="1">
      <alignment horizontal="justify" vertical="top" wrapText="1"/>
    </xf>
    <xf numFmtId="0" fontId="50" fillId="0" borderId="8" xfId="0" applyFont="1" applyBorder="1" applyAlignment="1">
      <alignment horizontal="justify" vertical="top" wrapText="1"/>
    </xf>
    <xf numFmtId="0" fontId="75" fillId="0" borderId="0" xfId="0" applyFont="1" applyAlignment="1">
      <alignment vertical="top"/>
    </xf>
    <xf numFmtId="0" fontId="75" fillId="0" borderId="0" xfId="0" applyFont="1" applyAlignment="1">
      <alignment vertical="top" wrapText="1"/>
    </xf>
    <xf numFmtId="0" fontId="50" fillId="0" borderId="0" xfId="0" applyFont="1" applyAlignment="1">
      <alignment horizontal="right" vertical="top"/>
    </xf>
    <xf numFmtId="0" fontId="76" fillId="58" borderId="5" xfId="0" applyFont="1" applyFill="1" applyBorder="1" applyAlignment="1">
      <alignment horizontal="right" vertical="top" wrapText="1"/>
    </xf>
    <xf numFmtId="0" fontId="52" fillId="0" borderId="9" xfId="0" applyFont="1" applyBorder="1" applyAlignment="1">
      <alignment horizontal="justify" vertical="top" wrapText="1"/>
    </xf>
    <xf numFmtId="0" fontId="76" fillId="58" borderId="7" xfId="0" applyFont="1" applyFill="1" applyBorder="1" applyAlignment="1">
      <alignment horizontal="right" vertical="top" wrapText="1"/>
    </xf>
    <xf numFmtId="0" fontId="52" fillId="0" borderId="8" xfId="0" applyFont="1" applyBorder="1" applyAlignment="1">
      <alignment horizontal="justify" vertical="top" wrapText="1"/>
    </xf>
    <xf numFmtId="0" fontId="77" fillId="58" borderId="37" xfId="0" applyFont="1" applyFill="1" applyBorder="1" applyAlignment="1">
      <alignment horizontal="right" vertical="top" wrapText="1"/>
    </xf>
    <xf numFmtId="0" fontId="77" fillId="58" borderId="7" xfId="0" applyFont="1" applyFill="1" applyBorder="1" applyAlignment="1">
      <alignment horizontal="right" vertical="top" wrapText="1"/>
    </xf>
    <xf numFmtId="0" fontId="79" fillId="58" borderId="37" xfId="0" applyFont="1" applyFill="1" applyBorder="1" applyAlignment="1">
      <alignment horizontal="right" vertical="top" wrapText="1"/>
    </xf>
    <xf numFmtId="0" fontId="74" fillId="0" borderId="0" xfId="0" applyFont="1" applyProtection="1">
      <protection locked="0"/>
    </xf>
    <xf numFmtId="0" fontId="74" fillId="0" borderId="0" xfId="0" applyFont="1" applyAlignment="1" applyProtection="1">
      <alignment horizontal="right"/>
      <protection locked="0"/>
    </xf>
    <xf numFmtId="43" fontId="74" fillId="0" borderId="0" xfId="7" applyFont="1" applyAlignment="1" applyProtection="1">
      <alignment horizontal="right"/>
      <protection locked="0"/>
    </xf>
    <xf numFmtId="43" fontId="74" fillId="0" borderId="0" xfId="0" applyNumberFormat="1" applyFont="1" applyAlignment="1" applyProtection="1">
      <alignment horizontal="right"/>
      <protection locked="0"/>
    </xf>
    <xf numFmtId="40" fontId="80" fillId="0" borderId="0" xfId="0" applyNumberFormat="1" applyFont="1" applyAlignment="1" applyProtection="1">
      <alignment horizontal="right"/>
      <protection locked="0"/>
    </xf>
    <xf numFmtId="43" fontId="80" fillId="0" borderId="0" xfId="7" applyFont="1" applyAlignment="1" applyProtection="1">
      <alignment horizontal="right"/>
      <protection locked="0"/>
    </xf>
    <xf numFmtId="177" fontId="74" fillId="0" borderId="0" xfId="0" applyNumberFormat="1" applyFont="1" applyAlignment="1" applyProtection="1">
      <alignment horizontal="right"/>
      <protection locked="0"/>
    </xf>
    <xf numFmtId="0" fontId="80" fillId="0" borderId="0" xfId="0" applyFont="1" applyProtection="1">
      <protection locked="0"/>
    </xf>
    <xf numFmtId="0" fontId="81" fillId="0" borderId="0" xfId="0" applyFont="1" applyProtection="1">
      <protection locked="0"/>
    </xf>
    <xf numFmtId="0" fontId="73" fillId="0" borderId="0" xfId="0" applyFont="1" applyProtection="1">
      <protection locked="0"/>
    </xf>
    <xf numFmtId="2" fontId="81" fillId="0" borderId="0" xfId="0" applyNumberFormat="1" applyFont="1" applyProtection="1">
      <protection locked="0"/>
    </xf>
    <xf numFmtId="43" fontId="81" fillId="0" borderId="0" xfId="7" applyFont="1" applyProtection="1">
      <protection locked="0"/>
    </xf>
    <xf numFmtId="168" fontId="81" fillId="0" borderId="0" xfId="0" applyNumberFormat="1" applyFont="1" applyProtection="1">
      <protection locked="0"/>
    </xf>
    <xf numFmtId="0" fontId="59" fillId="0" borderId="0" xfId="0" applyFont="1" applyProtection="1">
      <protection locked="0"/>
    </xf>
    <xf numFmtId="43" fontId="73" fillId="0" borderId="0" xfId="7" applyFont="1" applyProtection="1">
      <protection locked="0"/>
    </xf>
    <xf numFmtId="4" fontId="73" fillId="0" borderId="0" xfId="0" applyNumberFormat="1" applyFont="1" applyProtection="1">
      <protection locked="0"/>
    </xf>
    <xf numFmtId="0" fontId="84" fillId="0" borderId="0" xfId="0" applyFont="1" applyProtection="1">
      <protection locked="0"/>
    </xf>
    <xf numFmtId="0" fontId="85" fillId="0" borderId="0" xfId="0" applyFont="1" applyProtection="1">
      <protection locked="0"/>
    </xf>
    <xf numFmtId="0" fontId="58" fillId="0" borderId="0" xfId="0" applyFont="1" applyProtection="1">
      <protection locked="0"/>
    </xf>
    <xf numFmtId="0" fontId="72" fillId="0" borderId="0" xfId="0" applyFont="1" applyProtection="1">
      <protection locked="0"/>
    </xf>
    <xf numFmtId="2" fontId="73" fillId="0" borderId="0" xfId="0" applyNumberFormat="1" applyFont="1" applyProtection="1">
      <protection locked="0"/>
    </xf>
    <xf numFmtId="175" fontId="50" fillId="0" borderId="0" xfId="7" applyNumberFormat="1" applyFont="1" applyProtection="1">
      <protection locked="0"/>
    </xf>
    <xf numFmtId="175" fontId="50" fillId="0" borderId="0" xfId="0" applyNumberFormat="1" applyFont="1" applyProtection="1">
      <protection locked="0"/>
    </xf>
    <xf numFmtId="175" fontId="54" fillId="0" borderId="0" xfId="7" applyNumberFormat="1" applyFont="1" applyProtection="1">
      <protection locked="0"/>
    </xf>
    <xf numFmtId="4" fontId="81" fillId="0" borderId="0" xfId="0" applyNumberFormat="1" applyFont="1" applyProtection="1">
      <protection locked="0"/>
    </xf>
    <xf numFmtId="175" fontId="81" fillId="0" borderId="0" xfId="7" applyNumberFormat="1" applyFont="1" applyProtection="1">
      <protection locked="0"/>
    </xf>
    <xf numFmtId="0" fontId="86" fillId="0" borderId="0" xfId="0" applyFont="1" applyProtection="1">
      <protection locked="0"/>
    </xf>
    <xf numFmtId="4" fontId="86" fillId="0" borderId="0" xfId="0" applyNumberFormat="1" applyFont="1" applyProtection="1">
      <protection locked="0"/>
    </xf>
    <xf numFmtId="0" fontId="87" fillId="0" borderId="0" xfId="0" applyFont="1" applyProtection="1">
      <protection locked="0"/>
    </xf>
    <xf numFmtId="4" fontId="87" fillId="0" borderId="0" xfId="0" applyNumberFormat="1" applyFont="1" applyProtection="1">
      <protection locked="0"/>
    </xf>
    <xf numFmtId="173" fontId="50" fillId="0" borderId="0" xfId="1" applyNumberFormat="1" applyFont="1" applyProtection="1">
      <protection locked="0"/>
    </xf>
    <xf numFmtId="9" fontId="50" fillId="0" borderId="0" xfId="1" applyFont="1" applyProtection="1">
      <protection locked="0"/>
    </xf>
    <xf numFmtId="2" fontId="72" fillId="0" borderId="0" xfId="0" applyNumberFormat="1" applyFont="1" applyAlignment="1" applyProtection="1">
      <alignment horizontal="center"/>
      <protection locked="0"/>
    </xf>
    <xf numFmtId="43" fontId="73" fillId="0" borderId="0" xfId="7" applyFont="1" applyAlignment="1" applyProtection="1">
      <alignment horizontal="center"/>
      <protection locked="0"/>
    </xf>
    <xf numFmtId="0" fontId="62" fillId="0" borderId="0" xfId="0" applyFont="1" applyAlignment="1" applyProtection="1">
      <alignment vertical="center"/>
      <protection locked="0"/>
    </xf>
    <xf numFmtId="0" fontId="69" fillId="0" borderId="0" xfId="0" applyFont="1" applyProtection="1">
      <protection locked="0"/>
    </xf>
    <xf numFmtId="0" fontId="83" fillId="0" borderId="0" xfId="0" applyFont="1" applyAlignment="1" applyProtection="1">
      <alignment vertical="center"/>
      <protection locked="0"/>
    </xf>
    <xf numFmtId="167" fontId="50" fillId="0" borderId="0" xfId="0" applyNumberFormat="1" applyFont="1" applyProtection="1">
      <protection locked="0"/>
    </xf>
    <xf numFmtId="0" fontId="66" fillId="0" borderId="0" xfId="0" applyFont="1" applyProtection="1">
      <protection locked="0"/>
    </xf>
    <xf numFmtId="0" fontId="50" fillId="0" borderId="0" xfId="0" applyFont="1" applyAlignment="1" applyProtection="1">
      <alignment wrapText="1"/>
      <protection locked="0"/>
    </xf>
    <xf numFmtId="0" fontId="91" fillId="0" borderId="0" xfId="0" applyFont="1" applyProtection="1">
      <protection locked="0"/>
    </xf>
    <xf numFmtId="0" fontId="50" fillId="0" borderId="4" xfId="0" applyFont="1" applyBorder="1" applyProtection="1">
      <protection locked="0"/>
    </xf>
    <xf numFmtId="174" fontId="50" fillId="0" borderId="0" xfId="0" applyNumberFormat="1" applyFont="1" applyProtection="1">
      <protection locked="0"/>
    </xf>
    <xf numFmtId="0" fontId="73" fillId="0" borderId="0" xfId="0" applyFont="1" applyAlignment="1">
      <alignment horizontal="left" vertical="top"/>
    </xf>
    <xf numFmtId="0" fontId="92" fillId="0" borderId="0" xfId="0" applyFont="1" applyProtection="1">
      <protection locked="0"/>
    </xf>
    <xf numFmtId="2" fontId="56" fillId="0" borderId="0" xfId="0" applyNumberFormat="1" applyFont="1" applyProtection="1">
      <protection locked="0"/>
    </xf>
    <xf numFmtId="40" fontId="72" fillId="0" borderId="0" xfId="0" applyNumberFormat="1" applyFont="1" applyProtection="1">
      <protection locked="0"/>
    </xf>
    <xf numFmtId="2" fontId="91" fillId="0" borderId="0" xfId="0" applyNumberFormat="1" applyFont="1" applyProtection="1">
      <protection locked="0"/>
    </xf>
    <xf numFmtId="43" fontId="50" fillId="0" borderId="0" xfId="1" applyNumberFormat="1" applyFont="1" applyAlignment="1" applyProtection="1">
      <alignment horizontal="right"/>
      <protection locked="0"/>
    </xf>
    <xf numFmtId="0" fontId="50" fillId="0" borderId="43" xfId="0" applyFont="1" applyBorder="1" applyProtection="1">
      <protection locked="0"/>
    </xf>
    <xf numFmtId="2" fontId="50" fillId="0" borderId="43" xfId="0" applyNumberFormat="1" applyFont="1" applyBorder="1" applyProtection="1">
      <protection locked="0"/>
    </xf>
    <xf numFmtId="167" fontId="63" fillId="0" borderId="0" xfId="0" applyNumberFormat="1" applyFont="1"/>
    <xf numFmtId="43" fontId="94" fillId="0" borderId="0" xfId="7" applyFont="1" applyAlignment="1" applyProtection="1">
      <alignment horizontal="right"/>
      <protection locked="0"/>
    </xf>
    <xf numFmtId="43" fontId="94" fillId="0" borderId="0" xfId="0" applyNumberFormat="1" applyFont="1" applyAlignment="1" applyProtection="1">
      <alignment horizontal="right"/>
      <protection locked="0"/>
    </xf>
    <xf numFmtId="168" fontId="7" fillId="0" borderId="0" xfId="0" applyNumberFormat="1" applyFont="1"/>
    <xf numFmtId="0" fontId="55" fillId="0" borderId="0" xfId="0" applyFont="1" applyAlignment="1">
      <alignment horizontal="center" vertical="center" wrapText="1"/>
    </xf>
    <xf numFmtId="0" fontId="50" fillId="0" borderId="0" xfId="0" applyFont="1" applyAlignment="1">
      <alignment horizontal="center"/>
    </xf>
    <xf numFmtId="0" fontId="69" fillId="0" borderId="0" xfId="0" applyFont="1" applyAlignment="1" applyProtection="1">
      <alignment vertical="center"/>
      <protection locked="0"/>
    </xf>
    <xf numFmtId="0" fontId="90" fillId="0" borderId="0" xfId="0" applyFont="1" applyAlignment="1">
      <alignment horizontal="left"/>
    </xf>
    <xf numFmtId="0" fontId="0" fillId="0" borderId="0" xfId="0" applyAlignment="1">
      <alignment horizontal="left"/>
    </xf>
    <xf numFmtId="15" fontId="48" fillId="0" borderId="0" xfId="0" applyNumberFormat="1" applyFont="1" applyProtection="1">
      <protection locked="0"/>
    </xf>
    <xf numFmtId="0" fontId="67" fillId="0" borderId="0" xfId="0" applyFont="1" applyAlignment="1">
      <alignment horizontal="center"/>
    </xf>
    <xf numFmtId="169" fontId="66" fillId="0" borderId="0" xfId="0" applyNumberFormat="1" applyFont="1" applyAlignment="1">
      <alignment horizontal="center"/>
    </xf>
    <xf numFmtId="165" fontId="50" fillId="0" borderId="0" xfId="0" applyNumberFormat="1" applyFont="1" applyAlignment="1" applyProtection="1">
      <alignment vertical="center"/>
      <protection locked="0"/>
    </xf>
    <xf numFmtId="165" fontId="50" fillId="0" borderId="0" xfId="0" applyNumberFormat="1" applyFont="1" applyProtection="1">
      <protection locked="0"/>
    </xf>
    <xf numFmtId="0" fontId="89" fillId="0" borderId="0" xfId="0" applyFont="1" applyProtection="1">
      <protection locked="0"/>
    </xf>
    <xf numFmtId="2" fontId="48" fillId="0" borderId="0" xfId="0" applyNumberFormat="1" applyFont="1" applyProtection="1">
      <protection locked="0"/>
    </xf>
    <xf numFmtId="0" fontId="5" fillId="0" borderId="37" xfId="0" applyFont="1" applyBorder="1" applyAlignment="1">
      <alignment horizontal="center"/>
    </xf>
    <xf numFmtId="0" fontId="5" fillId="0" borderId="38" xfId="0" applyFont="1" applyBorder="1" applyAlignment="1">
      <alignment horizontal="center"/>
    </xf>
    <xf numFmtId="38" fontId="5" fillId="0" borderId="42" xfId="0" applyNumberFormat="1" applyFont="1" applyBorder="1" applyAlignment="1">
      <alignment horizontal="right" vertical="center"/>
    </xf>
    <xf numFmtId="0" fontId="5" fillId="0" borderId="42" xfId="0" applyFont="1" applyBorder="1" applyAlignment="1">
      <alignment horizontal="center" vertical="center" textRotation="180" wrapText="1"/>
    </xf>
    <xf numFmtId="0" fontId="5" fillId="0" borderId="42" xfId="0" applyFont="1" applyBorder="1" applyAlignment="1">
      <alignment horizontal="center" vertical="center" textRotation="180"/>
    </xf>
    <xf numFmtId="0" fontId="5" fillId="0" borderId="37" xfId="0" applyFont="1" applyBorder="1" applyAlignment="1">
      <alignment horizontal="center" vertical="center" textRotation="180" wrapText="1"/>
    </xf>
    <xf numFmtId="3" fontId="5" fillId="0" borderId="43" xfId="0" applyNumberFormat="1" applyFont="1" applyBorder="1" applyAlignment="1">
      <alignment horizontal="right"/>
    </xf>
    <xf numFmtId="3" fontId="5" fillId="0" borderId="42" xfId="0" applyNumberFormat="1" applyFont="1" applyBorder="1" applyAlignment="1">
      <alignment horizontal="right" vertical="center"/>
    </xf>
    <xf numFmtId="3" fontId="5" fillId="0" borderId="43" xfId="0" applyNumberFormat="1" applyFont="1" applyBorder="1" applyAlignment="1">
      <alignment horizontal="right" vertical="center"/>
    </xf>
    <xf numFmtId="3" fontId="5" fillId="0" borderId="42" xfId="0" applyNumberFormat="1" applyFont="1" applyBorder="1" applyAlignment="1">
      <alignment horizontal="right"/>
    </xf>
    <xf numFmtId="3" fontId="5" fillId="0" borderId="37" xfId="0" applyNumberFormat="1" applyFont="1" applyBorder="1" applyAlignment="1">
      <alignment horizontal="right"/>
    </xf>
    <xf numFmtId="0" fontId="5" fillId="0" borderId="43" xfId="0" applyFont="1" applyBorder="1" applyAlignment="1">
      <alignment horizontal="center" vertical="center" textRotation="180" wrapText="1"/>
    </xf>
    <xf numFmtId="3" fontId="5" fillId="0" borderId="38" xfId="0" applyNumberFormat="1" applyFont="1" applyBorder="1" applyAlignment="1">
      <alignment horizontal="right"/>
    </xf>
    <xf numFmtId="0" fontId="5" fillId="0" borderId="43" xfId="0" applyFont="1" applyBorder="1" applyAlignment="1">
      <alignment horizontal="center"/>
    </xf>
    <xf numFmtId="40" fontId="5" fillId="0" borderId="42" xfId="0" applyNumberFormat="1" applyFont="1" applyBorder="1" applyAlignment="1">
      <alignment horizontal="right"/>
    </xf>
    <xf numFmtId="40" fontId="5" fillId="0" borderId="43" xfId="0" applyNumberFormat="1" applyFont="1" applyBorder="1" applyAlignment="1">
      <alignment horizontal="right"/>
    </xf>
    <xf numFmtId="3" fontId="5" fillId="0" borderId="42" xfId="0" applyNumberFormat="1" applyFont="1" applyBorder="1" applyAlignment="1">
      <alignment horizontal="right" indent="1"/>
    </xf>
    <xf numFmtId="3" fontId="5" fillId="0" borderId="42" xfId="0" applyNumberFormat="1" applyFont="1" applyBorder="1" applyAlignment="1">
      <alignment horizontal="right" vertical="center" indent="1"/>
    </xf>
    <xf numFmtId="0" fontId="7" fillId="0" borderId="0" xfId="0" applyFont="1"/>
    <xf numFmtId="0" fontId="96" fillId="58" borderId="37" xfId="0" applyFont="1" applyFill="1" applyBorder="1" applyAlignment="1">
      <alignment horizontal="center"/>
    </xf>
    <xf numFmtId="0" fontId="96" fillId="58" borderId="7" xfId="0" applyFont="1" applyFill="1" applyBorder="1" applyAlignment="1">
      <alignment horizontal="center"/>
    </xf>
    <xf numFmtId="0" fontId="96" fillId="58" borderId="5" xfId="0" applyFont="1" applyFill="1" applyBorder="1" applyAlignment="1">
      <alignment horizontal="center"/>
    </xf>
    <xf numFmtId="0" fontId="96" fillId="58" borderId="7" xfId="0" applyFont="1" applyFill="1" applyBorder="1"/>
    <xf numFmtId="0" fontId="96" fillId="58" borderId="5" xfId="0" applyFont="1" applyFill="1" applyBorder="1"/>
    <xf numFmtId="0" fontId="96" fillId="58" borderId="37" xfId="0" applyFont="1" applyFill="1" applyBorder="1" applyAlignment="1">
      <alignment horizontal="center" vertical="center"/>
    </xf>
    <xf numFmtId="0" fontId="97" fillId="56" borderId="0" xfId="0" applyFont="1" applyFill="1" applyAlignment="1">
      <alignment horizontal="center" vertical="center" wrapText="1"/>
    </xf>
    <xf numFmtId="0" fontId="97" fillId="61" borderId="0" xfId="0" applyFont="1" applyFill="1" applyAlignment="1">
      <alignment horizontal="center" vertical="center" wrapText="1"/>
    </xf>
    <xf numFmtId="0" fontId="97" fillId="61" borderId="0" xfId="0" applyFont="1" applyFill="1" applyAlignment="1">
      <alignment horizontal="center" vertical="center"/>
    </xf>
    <xf numFmtId="0" fontId="99" fillId="58" borderId="38" xfId="0" applyFont="1" applyFill="1" applyBorder="1" applyAlignment="1">
      <alignment horizontal="center"/>
    </xf>
    <xf numFmtId="40" fontId="100" fillId="0" borderId="8" xfId="0" applyNumberFormat="1" applyFont="1" applyBorder="1" applyAlignment="1">
      <alignment horizontal="center"/>
    </xf>
    <xf numFmtId="40" fontId="100" fillId="0" borderId="10" xfId="0" applyNumberFormat="1" applyFont="1" applyBorder="1" applyAlignment="1">
      <alignment horizontal="center"/>
    </xf>
    <xf numFmtId="10" fontId="100" fillId="0" borderId="10" xfId="1" applyNumberFormat="1" applyFont="1" applyBorder="1" applyAlignment="1" applyProtection="1">
      <alignment horizontal="center"/>
    </xf>
    <xf numFmtId="0" fontId="99" fillId="58" borderId="8" xfId="0" applyFont="1" applyFill="1" applyBorder="1" applyAlignment="1">
      <alignment horizontal="center"/>
    </xf>
    <xf numFmtId="0" fontId="99" fillId="58" borderId="9" xfId="0" applyFont="1" applyFill="1" applyBorder="1" applyAlignment="1">
      <alignment horizontal="center"/>
    </xf>
    <xf numFmtId="40" fontId="100" fillId="0" borderId="9" xfId="0" applyNumberFormat="1" applyFont="1" applyBorder="1" applyAlignment="1">
      <alignment horizontal="center"/>
    </xf>
    <xf numFmtId="40" fontId="100" fillId="0" borderId="6" xfId="0" applyNumberFormat="1" applyFont="1" applyBorder="1" applyAlignment="1">
      <alignment horizontal="center"/>
    </xf>
    <xf numFmtId="10" fontId="100" fillId="0" borderId="6" xfId="1" applyNumberFormat="1" applyFont="1" applyBorder="1" applyAlignment="1" applyProtection="1">
      <alignment horizontal="center"/>
    </xf>
    <xf numFmtId="40" fontId="100" fillId="0" borderId="42" xfId="0" applyNumberFormat="1" applyFont="1" applyBorder="1" applyAlignment="1">
      <alignment horizontal="center"/>
    </xf>
    <xf numFmtId="10" fontId="100" fillId="0" borderId="42" xfId="1" applyNumberFormat="1" applyFont="1" applyBorder="1" applyAlignment="1" applyProtection="1">
      <alignment horizontal="center"/>
    </xf>
    <xf numFmtId="40" fontId="100" fillId="0" borderId="38" xfId="0" applyNumberFormat="1" applyFont="1" applyBorder="1" applyAlignment="1">
      <alignment horizontal="center"/>
    </xf>
    <xf numFmtId="10" fontId="100" fillId="0" borderId="38" xfId="1" applyNumberFormat="1" applyFont="1" applyBorder="1" applyAlignment="1" applyProtection="1">
      <alignment horizontal="center"/>
    </xf>
    <xf numFmtId="10" fontId="100" fillId="0" borderId="8" xfId="1" applyNumberFormat="1" applyFont="1" applyBorder="1" applyAlignment="1" applyProtection="1">
      <alignment horizontal="center"/>
    </xf>
    <xf numFmtId="40" fontId="100" fillId="0" borderId="43" xfId="0" applyNumberFormat="1" applyFont="1" applyBorder="1" applyAlignment="1">
      <alignment horizontal="center"/>
    </xf>
    <xf numFmtId="40" fontId="100" fillId="0" borderId="0" xfId="0" applyNumberFormat="1" applyFont="1" applyAlignment="1">
      <alignment horizontal="center"/>
    </xf>
    <xf numFmtId="40" fontId="100" fillId="0" borderId="4" xfId="0" applyNumberFormat="1" applyFont="1" applyBorder="1" applyAlignment="1">
      <alignment horizontal="center"/>
    </xf>
    <xf numFmtId="10" fontId="100" fillId="0" borderId="9" xfId="1" applyNumberFormat="1" applyFont="1" applyBorder="1" applyAlignment="1" applyProtection="1">
      <alignment horizontal="center"/>
    </xf>
    <xf numFmtId="40" fontId="101" fillId="0" borderId="8" xfId="0" applyNumberFormat="1" applyFont="1" applyBorder="1" applyAlignment="1">
      <alignment horizontal="center"/>
    </xf>
    <xf numFmtId="40" fontId="101" fillId="0" borderId="10" xfId="0" applyNumberFormat="1" applyFont="1" applyBorder="1" applyAlignment="1">
      <alignment horizontal="center"/>
    </xf>
    <xf numFmtId="40" fontId="101" fillId="0" borderId="0" xfId="0" applyNumberFormat="1" applyFont="1" applyAlignment="1">
      <alignment horizontal="center"/>
    </xf>
    <xf numFmtId="40" fontId="101" fillId="0" borderId="4" xfId="0" applyNumberFormat="1" applyFont="1" applyBorder="1" applyAlignment="1">
      <alignment horizontal="center"/>
    </xf>
    <xf numFmtId="40" fontId="101" fillId="0" borderId="6" xfId="0" applyNumberFormat="1" applyFont="1" applyBorder="1" applyAlignment="1">
      <alignment horizontal="center"/>
    </xf>
    <xf numFmtId="40" fontId="101" fillId="0" borderId="43" xfId="0" applyNumberFormat="1" applyFont="1" applyBorder="1" applyAlignment="1">
      <alignment horizontal="center"/>
    </xf>
    <xf numFmtId="40" fontId="101" fillId="0" borderId="42" xfId="0" applyNumberFormat="1" applyFont="1" applyBorder="1" applyAlignment="1">
      <alignment horizontal="center"/>
    </xf>
    <xf numFmtId="0" fontId="99" fillId="58" borderId="43" xfId="0" applyFont="1" applyFill="1" applyBorder="1" applyAlignment="1">
      <alignment horizontal="center"/>
    </xf>
    <xf numFmtId="0" fontId="99" fillId="58" borderId="0" xfId="0" applyFont="1" applyFill="1" applyAlignment="1">
      <alignment horizontal="center"/>
    </xf>
    <xf numFmtId="0" fontId="99" fillId="58" borderId="4" xfId="0" applyFont="1" applyFill="1" applyBorder="1" applyAlignment="1">
      <alignment horizontal="center"/>
    </xf>
    <xf numFmtId="40" fontId="102" fillId="0" borderId="42" xfId="0" applyNumberFormat="1" applyFont="1" applyBorder="1" applyAlignment="1">
      <alignment horizontal="center"/>
    </xf>
    <xf numFmtId="40" fontId="102" fillId="0" borderId="10" xfId="0" applyNumberFormat="1" applyFont="1" applyBorder="1" applyAlignment="1">
      <alignment horizontal="center"/>
    </xf>
    <xf numFmtId="0" fontId="97" fillId="56" borderId="42" xfId="0" applyFont="1" applyFill="1" applyBorder="1" applyAlignment="1">
      <alignment horizontal="center" vertical="center" wrapText="1"/>
    </xf>
    <xf numFmtId="0" fontId="97" fillId="56" borderId="10" xfId="0" applyFont="1" applyFill="1" applyBorder="1" applyAlignment="1">
      <alignment horizontal="center" vertical="center" wrapText="1"/>
    </xf>
    <xf numFmtId="0" fontId="97" fillId="56" borderId="5" xfId="0" applyFont="1" applyFill="1" applyBorder="1" applyAlignment="1">
      <alignment horizontal="center" vertical="center"/>
    </xf>
    <xf numFmtId="0" fontId="97" fillId="56" borderId="6" xfId="0" applyFont="1" applyFill="1" applyBorder="1" applyAlignment="1">
      <alignment horizontal="center" vertical="center" wrapText="1"/>
    </xf>
    <xf numFmtId="0" fontId="97" fillId="56" borderId="1" xfId="0" applyFont="1" applyFill="1" applyBorder="1" applyAlignment="1">
      <alignment horizontal="center" vertical="center" wrapText="1"/>
    </xf>
    <xf numFmtId="0" fontId="97" fillId="56" borderId="4" xfId="0" applyFont="1" applyFill="1" applyBorder="1" applyAlignment="1">
      <alignment horizontal="center" vertical="center"/>
    </xf>
    <xf numFmtId="0" fontId="97" fillId="56" borderId="6" xfId="0" applyFont="1" applyFill="1" applyBorder="1" applyAlignment="1">
      <alignment horizontal="center" vertical="center"/>
    </xf>
    <xf numFmtId="0" fontId="96" fillId="58" borderId="0" xfId="0" applyFont="1" applyFill="1" applyAlignment="1">
      <alignment horizontal="center"/>
    </xf>
    <xf numFmtId="0" fontId="96" fillId="58" borderId="4" xfId="0" applyFont="1" applyFill="1" applyBorder="1" applyAlignment="1">
      <alignment horizontal="center"/>
    </xf>
    <xf numFmtId="0" fontId="97" fillId="56" borderId="1" xfId="0" applyFont="1" applyFill="1" applyBorder="1" applyAlignment="1">
      <alignment horizontal="center" vertical="center"/>
    </xf>
    <xf numFmtId="4" fontId="100" fillId="0" borderId="42" xfId="0" applyNumberFormat="1" applyFont="1" applyBorder="1" applyAlignment="1">
      <alignment horizontal="right" vertical="center" indent="1"/>
    </xf>
    <xf numFmtId="4" fontId="100" fillId="0" borderId="37" xfId="0" applyNumberFormat="1" applyFont="1" applyBorder="1" applyAlignment="1">
      <alignment horizontal="right" vertical="center" indent="1"/>
    </xf>
    <xf numFmtId="2" fontId="100" fillId="0" borderId="38" xfId="0" applyNumberFormat="1" applyFont="1" applyBorder="1"/>
    <xf numFmtId="4" fontId="100" fillId="0" borderId="10" xfId="0" applyNumberFormat="1" applyFont="1" applyBorder="1" applyAlignment="1">
      <alignment horizontal="right" vertical="center" indent="1"/>
    </xf>
    <xf numFmtId="4" fontId="100" fillId="0" borderId="7" xfId="0" applyNumberFormat="1" applyFont="1" applyBorder="1" applyAlignment="1">
      <alignment horizontal="right" vertical="center" indent="1"/>
    </xf>
    <xf numFmtId="2" fontId="100" fillId="0" borderId="8" xfId="0" applyNumberFormat="1" applyFont="1" applyBorder="1"/>
    <xf numFmtId="4" fontId="100" fillId="0" borderId="6" xfId="0" applyNumberFormat="1" applyFont="1" applyBorder="1" applyAlignment="1">
      <alignment horizontal="right" vertical="center" indent="1"/>
    </xf>
    <xf numFmtId="4" fontId="100" fillId="0" borderId="5" xfId="0" applyNumberFormat="1" applyFont="1" applyBorder="1" applyAlignment="1">
      <alignment horizontal="right" vertical="center" indent="1"/>
    </xf>
    <xf numFmtId="2" fontId="100" fillId="0" borderId="9" xfId="0" applyNumberFormat="1" applyFont="1" applyBorder="1"/>
    <xf numFmtId="4" fontId="100" fillId="0" borderId="8" xfId="0" applyNumberFormat="1" applyFont="1" applyBorder="1" applyAlignment="1">
      <alignment horizontal="right" vertical="center" indent="1"/>
    </xf>
    <xf numFmtId="4" fontId="100" fillId="0" borderId="0" xfId="0" applyNumberFormat="1" applyFont="1" applyAlignment="1">
      <alignment horizontal="right" vertical="center" indent="1"/>
    </xf>
    <xf numFmtId="4" fontId="100" fillId="0" borderId="9" xfId="0" applyNumberFormat="1" applyFont="1" applyBorder="1" applyAlignment="1">
      <alignment horizontal="right" vertical="center" indent="1"/>
    </xf>
    <xf numFmtId="4" fontId="100" fillId="0" borderId="4" xfId="0" applyNumberFormat="1" applyFont="1" applyBorder="1" applyAlignment="1">
      <alignment horizontal="right" vertical="center" indent="1"/>
    </xf>
    <xf numFmtId="4" fontId="102" fillId="0" borderId="0" xfId="0" applyNumberFormat="1" applyFont="1" applyAlignment="1">
      <alignment horizontal="right" vertical="center" indent="1"/>
    </xf>
    <xf numFmtId="4" fontId="102" fillId="0" borderId="10" xfId="0" applyNumberFormat="1" applyFont="1" applyBorder="1" applyAlignment="1">
      <alignment horizontal="right" vertical="center" indent="1"/>
    </xf>
    <xf numFmtId="2" fontId="102" fillId="0" borderId="8" xfId="0" applyNumberFormat="1" applyFont="1" applyBorder="1"/>
    <xf numFmtId="2" fontId="100" fillId="0" borderId="42" xfId="0" applyNumberFormat="1" applyFont="1" applyBorder="1"/>
    <xf numFmtId="2" fontId="100" fillId="0" borderId="10" xfId="0" applyNumberFormat="1" applyFont="1" applyBorder="1"/>
    <xf numFmtId="2" fontId="100" fillId="0" borderId="6" xfId="0" applyNumberFormat="1" applyFont="1" applyBorder="1"/>
    <xf numFmtId="4" fontId="100" fillId="0" borderId="43" xfId="0" applyNumberFormat="1" applyFont="1" applyBorder="1" applyAlignment="1">
      <alignment horizontal="right" vertical="center" indent="1"/>
    </xf>
    <xf numFmtId="4" fontId="101" fillId="0" borderId="6" xfId="0" applyNumberFormat="1" applyFont="1" applyBorder="1" applyAlignment="1">
      <alignment horizontal="right" vertical="center" indent="1"/>
    </xf>
    <xf numFmtId="4" fontId="100" fillId="0" borderId="38" xfId="0" applyNumberFormat="1" applyFont="1" applyBorder="1" applyAlignment="1">
      <alignment horizontal="right" vertical="center" indent="1"/>
    </xf>
    <xf numFmtId="4" fontId="100" fillId="0" borderId="42" xfId="0" applyNumberFormat="1" applyFont="1" applyBorder="1" applyAlignment="1">
      <alignment horizontal="center" vertical="center"/>
    </xf>
    <xf numFmtId="2" fontId="100" fillId="0" borderId="38" xfId="0" applyNumberFormat="1" applyFont="1" applyBorder="1" applyAlignment="1">
      <alignment horizontal="center"/>
    </xf>
    <xf numFmtId="4" fontId="100" fillId="0" borderId="10" xfId="0" applyNumberFormat="1" applyFont="1" applyBorder="1" applyAlignment="1">
      <alignment horizontal="center" vertical="center"/>
    </xf>
    <xf numFmtId="2" fontId="100" fillId="0" borderId="8" xfId="0" applyNumberFormat="1" applyFont="1" applyBorder="1" applyAlignment="1">
      <alignment horizontal="center"/>
    </xf>
    <xf numFmtId="4" fontId="100" fillId="0" borderId="6" xfId="0" applyNumberFormat="1" applyFont="1" applyBorder="1" applyAlignment="1">
      <alignment horizontal="center" vertical="center"/>
    </xf>
    <xf numFmtId="2" fontId="100" fillId="0" borderId="9" xfId="0" applyNumberFormat="1" applyFont="1" applyBorder="1" applyAlignment="1">
      <alignment horizontal="center"/>
    </xf>
    <xf numFmtId="4" fontId="102" fillId="0" borderId="8" xfId="0" applyNumberFormat="1" applyFont="1" applyBorder="1" applyAlignment="1">
      <alignment horizontal="right" vertical="center" indent="1"/>
    </xf>
    <xf numFmtId="4" fontId="102" fillId="0" borderId="10" xfId="0" applyNumberFormat="1" applyFont="1" applyBorder="1" applyAlignment="1">
      <alignment horizontal="center" vertical="center"/>
    </xf>
    <xf numFmtId="2" fontId="102" fillId="0" borderId="8" xfId="0" applyNumberFormat="1" applyFont="1" applyBorder="1" applyAlignment="1">
      <alignment horizontal="center"/>
    </xf>
    <xf numFmtId="2" fontId="100" fillId="0" borderId="42" xfId="0" applyNumberFormat="1" applyFont="1" applyBorder="1" applyAlignment="1">
      <alignment horizontal="center"/>
    </xf>
    <xf numFmtId="2" fontId="100" fillId="0" borderId="10" xfId="0" applyNumberFormat="1" applyFont="1" applyBorder="1" applyAlignment="1">
      <alignment horizontal="center"/>
    </xf>
    <xf numFmtId="2" fontId="100" fillId="0" borderId="6" xfId="0" applyNumberFormat="1" applyFont="1" applyBorder="1" applyAlignment="1">
      <alignment horizontal="center"/>
    </xf>
    <xf numFmtId="4" fontId="48" fillId="0" borderId="10" xfId="0" applyNumberFormat="1" applyFont="1" applyBorder="1" applyAlignment="1">
      <alignment horizontal="right" vertical="center" indent="1"/>
    </xf>
    <xf numFmtId="2" fontId="101" fillId="0" borderId="6" xfId="0" applyNumberFormat="1" applyFont="1" applyBorder="1" applyAlignment="1">
      <alignment horizontal="center"/>
    </xf>
    <xf numFmtId="0" fontId="97" fillId="56" borderId="0" xfId="0" applyFont="1" applyFill="1" applyAlignment="1">
      <alignment horizontal="center" vertical="center"/>
    </xf>
    <xf numFmtId="0" fontId="97" fillId="57" borderId="42" xfId="0" applyFont="1" applyFill="1" applyBorder="1" applyAlignment="1">
      <alignment horizontal="center" vertical="center"/>
    </xf>
    <xf numFmtId="0" fontId="97" fillId="57" borderId="37" xfId="0" applyFont="1" applyFill="1" applyBorder="1" applyAlignment="1">
      <alignment horizontal="center" vertical="center"/>
    </xf>
    <xf numFmtId="2" fontId="100" fillId="0" borderId="10" xfId="0" applyNumberFormat="1" applyFont="1" applyBorder="1" applyAlignment="1">
      <alignment horizontal="right" indent="1"/>
    </xf>
    <xf numFmtId="4" fontId="100" fillId="0" borderId="10" xfId="0" applyNumberFormat="1" applyFont="1" applyBorder="1" applyAlignment="1">
      <alignment horizontal="right" indent="1"/>
    </xf>
    <xf numFmtId="4" fontId="100" fillId="0" borderId="0" xfId="0" applyNumberFormat="1" applyFont="1" applyAlignment="1">
      <alignment horizontal="right" indent="1"/>
    </xf>
    <xf numFmtId="4" fontId="100" fillId="0" borderId="6" xfId="0" applyNumberFormat="1" applyFont="1" applyBorder="1" applyAlignment="1">
      <alignment horizontal="right" indent="1"/>
    </xf>
    <xf numFmtId="4" fontId="100" fillId="0" borderId="4" xfId="0" applyNumberFormat="1" applyFont="1" applyBorder="1" applyAlignment="1">
      <alignment horizontal="right" indent="1"/>
    </xf>
    <xf numFmtId="2" fontId="100" fillId="0" borderId="6" xfId="0" applyNumberFormat="1" applyFont="1" applyBorder="1" applyAlignment="1">
      <alignment horizontal="right" indent="1"/>
    </xf>
    <xf numFmtId="4" fontId="100" fillId="0" borderId="42" xfId="0" applyNumberFormat="1" applyFont="1" applyBorder="1" applyAlignment="1">
      <alignment horizontal="right" indent="1"/>
    </xf>
    <xf numFmtId="4" fontId="100" fillId="0" borderId="43" xfId="0" applyNumberFormat="1" applyFont="1" applyBorder="1" applyAlignment="1">
      <alignment horizontal="right" indent="1"/>
    </xf>
    <xf numFmtId="4" fontId="100" fillId="0" borderId="7" xfId="0" applyNumberFormat="1" applyFont="1" applyBorder="1" applyAlignment="1">
      <alignment horizontal="right" indent="1"/>
    </xf>
    <xf numFmtId="4" fontId="100" fillId="0" borderId="5" xfId="0" applyNumberFormat="1" applyFont="1" applyBorder="1" applyAlignment="1">
      <alignment horizontal="right" indent="1"/>
    </xf>
    <xf numFmtId="4" fontId="100" fillId="0" borderId="8" xfId="0" applyNumberFormat="1" applyFont="1" applyBorder="1" applyAlignment="1">
      <alignment horizontal="right" indent="1"/>
    </xf>
    <xf numFmtId="4" fontId="100" fillId="0" borderId="38" xfId="0" applyNumberFormat="1" applyFont="1" applyBorder="1" applyAlignment="1">
      <alignment horizontal="right" indent="1"/>
    </xf>
    <xf numFmtId="4" fontId="97" fillId="60" borderId="1" xfId="0" applyNumberFormat="1" applyFont="1" applyFill="1" applyBorder="1" applyAlignment="1">
      <alignment horizontal="right" vertical="center" indent="1"/>
    </xf>
    <xf numFmtId="4" fontId="97" fillId="60" borderId="13" xfId="0" applyNumberFormat="1" applyFont="1" applyFill="1" applyBorder="1" applyAlignment="1">
      <alignment horizontal="right" vertical="center" indent="1"/>
    </xf>
    <xf numFmtId="4" fontId="97" fillId="60" borderId="3" xfId="0" applyNumberFormat="1" applyFont="1" applyFill="1" applyBorder="1" applyAlignment="1">
      <alignment horizontal="right" vertical="center" indent="1"/>
    </xf>
    <xf numFmtId="4" fontId="102" fillId="0" borderId="42" xfId="0" applyNumberFormat="1" applyFont="1" applyBorder="1" applyAlignment="1">
      <alignment horizontal="right" indent="1"/>
    </xf>
    <xf numFmtId="4" fontId="100" fillId="0" borderId="9" xfId="0" applyNumberFormat="1" applyFont="1" applyBorder="1" applyAlignment="1">
      <alignment horizontal="right" indent="1"/>
    </xf>
    <xf numFmtId="0" fontId="97" fillId="56" borderId="37" xfId="0" applyFont="1" applyFill="1" applyBorder="1" applyAlignment="1">
      <alignment horizontal="center" vertical="center" wrapText="1"/>
    </xf>
    <xf numFmtId="4" fontId="101" fillId="0" borderId="42" xfId="0" applyNumberFormat="1" applyFont="1" applyBorder="1" applyAlignment="1">
      <alignment horizontal="right"/>
    </xf>
    <xf numFmtId="4" fontId="102" fillId="0" borderId="43" xfId="0" applyNumberFormat="1" applyFont="1" applyBorder="1" applyAlignment="1">
      <alignment horizontal="right"/>
    </xf>
    <xf numFmtId="4" fontId="102" fillId="0" borderId="42" xfId="0" applyNumberFormat="1" applyFont="1" applyBorder="1" applyAlignment="1">
      <alignment horizontal="right" vertical="center"/>
    </xf>
    <xf numFmtId="4" fontId="101" fillId="0" borderId="43" xfId="0" applyNumberFormat="1" applyFont="1" applyBorder="1" applyAlignment="1">
      <alignment horizontal="right" vertical="center"/>
    </xf>
    <xf numFmtId="4" fontId="102" fillId="0" borderId="43" xfId="0" applyNumberFormat="1" applyFont="1" applyBorder="1" applyAlignment="1">
      <alignment horizontal="right" vertical="center"/>
    </xf>
    <xf numFmtId="4" fontId="102" fillId="0" borderId="38" xfId="0" applyNumberFormat="1" applyFont="1" applyBorder="1" applyAlignment="1">
      <alignment horizontal="right" vertical="center"/>
    </xf>
    <xf numFmtId="4" fontId="101" fillId="0" borderId="10" xfId="0" applyNumberFormat="1" applyFont="1" applyBorder="1" applyAlignment="1">
      <alignment horizontal="right"/>
    </xf>
    <xf numFmtId="4" fontId="102" fillId="0" borderId="0" xfId="0" applyNumberFormat="1" applyFont="1" applyAlignment="1">
      <alignment horizontal="right"/>
    </xf>
    <xf numFmtId="4" fontId="102" fillId="0" borderId="10" xfId="0" applyNumberFormat="1" applyFont="1" applyBorder="1" applyAlignment="1">
      <alignment horizontal="right" vertical="center"/>
    </xf>
    <xf numFmtId="4" fontId="101" fillId="0" borderId="0" xfId="0" applyNumberFormat="1" applyFont="1" applyAlignment="1">
      <alignment horizontal="right" vertical="center"/>
    </xf>
    <xf numFmtId="4" fontId="102" fillId="0" borderId="0" xfId="0" applyNumberFormat="1" applyFont="1" applyAlignment="1">
      <alignment horizontal="right" vertical="center"/>
    </xf>
    <xf numFmtId="4" fontId="102" fillId="0" borderId="8" xfId="0" applyNumberFormat="1" applyFont="1" applyBorder="1" applyAlignment="1">
      <alignment horizontal="right" vertical="center"/>
    </xf>
    <xf numFmtId="4" fontId="101" fillId="0" borderId="6" xfId="0" applyNumberFormat="1" applyFont="1" applyBorder="1" applyAlignment="1">
      <alignment horizontal="right"/>
    </xf>
    <xf numFmtId="4" fontId="102" fillId="0" borderId="4" xfId="0" applyNumberFormat="1" applyFont="1" applyBorder="1" applyAlignment="1">
      <alignment horizontal="right"/>
    </xf>
    <xf numFmtId="4" fontId="102" fillId="0" borderId="6" xfId="0" applyNumberFormat="1" applyFont="1" applyBorder="1" applyAlignment="1">
      <alignment horizontal="right" vertical="center"/>
    </xf>
    <xf numFmtId="4" fontId="101" fillId="0" borderId="6" xfId="0" applyNumberFormat="1" applyFont="1" applyBorder="1" applyAlignment="1">
      <alignment horizontal="right" vertical="center"/>
    </xf>
    <xf numFmtId="4" fontId="102" fillId="0" borderId="4" xfId="0" applyNumberFormat="1" applyFont="1" applyBorder="1" applyAlignment="1">
      <alignment horizontal="right" vertical="center"/>
    </xf>
    <xf numFmtId="4" fontId="102" fillId="0" borderId="9" xfId="0" applyNumberFormat="1" applyFont="1" applyBorder="1" applyAlignment="1">
      <alignment horizontal="right" vertical="center"/>
    </xf>
    <xf numFmtId="4" fontId="101" fillId="0" borderId="0" xfId="0" applyNumberFormat="1" applyFont="1" applyAlignment="1">
      <alignment horizontal="right"/>
    </xf>
    <xf numFmtId="4" fontId="101" fillId="0" borderId="10" xfId="0" applyNumberFormat="1" applyFont="1" applyBorder="1" applyAlignment="1">
      <alignment horizontal="right" vertical="center"/>
    </xf>
    <xf numFmtId="4" fontId="101" fillId="0" borderId="8" xfId="0" applyNumberFormat="1" applyFont="1" applyBorder="1" applyAlignment="1">
      <alignment horizontal="right" vertical="center"/>
    </xf>
    <xf numFmtId="4" fontId="101" fillId="0" borderId="43" xfId="0" applyNumberFormat="1" applyFont="1" applyBorder="1" applyAlignment="1">
      <alignment horizontal="right"/>
    </xf>
    <xf numFmtId="4" fontId="101" fillId="0" borderId="42" xfId="0" applyNumberFormat="1" applyFont="1" applyBorder="1" applyAlignment="1">
      <alignment horizontal="right" vertical="center"/>
    </xf>
    <xf numFmtId="4" fontId="101" fillId="0" borderId="38" xfId="0" applyNumberFormat="1" applyFont="1" applyBorder="1" applyAlignment="1">
      <alignment horizontal="right" vertical="center"/>
    </xf>
    <xf numFmtId="4" fontId="101" fillId="0" borderId="4" xfId="0" applyNumberFormat="1" applyFont="1" applyBorder="1" applyAlignment="1">
      <alignment horizontal="right"/>
    </xf>
    <xf numFmtId="4" fontId="102" fillId="0" borderId="10" xfId="0" applyNumberFormat="1" applyFont="1" applyBorder="1" applyAlignment="1">
      <alignment horizontal="right"/>
    </xf>
    <xf numFmtId="4" fontId="102" fillId="0" borderId="6" xfId="0" applyNumberFormat="1" applyFont="1" applyBorder="1" applyAlignment="1">
      <alignment horizontal="right"/>
    </xf>
    <xf numFmtId="4" fontId="101" fillId="0" borderId="8" xfId="0" applyNumberFormat="1" applyFont="1" applyBorder="1" applyAlignment="1">
      <alignment horizontal="right"/>
    </xf>
    <xf numFmtId="4" fontId="102" fillId="0" borderId="9" xfId="0" applyNumberFormat="1" applyFont="1" applyBorder="1" applyAlignment="1">
      <alignment horizontal="right"/>
    </xf>
    <xf numFmtId="4" fontId="102" fillId="0" borderId="42" xfId="0" applyNumberFormat="1" applyFont="1" applyBorder="1" applyAlignment="1">
      <alignment horizontal="right"/>
    </xf>
    <xf numFmtId="4" fontId="101" fillId="0" borderId="7" xfId="0" applyNumberFormat="1" applyFont="1" applyBorder="1" applyAlignment="1">
      <alignment horizontal="right"/>
    </xf>
    <xf numFmtId="0" fontId="97" fillId="56" borderId="42" xfId="0" applyFont="1" applyFill="1" applyBorder="1" applyAlignment="1">
      <alignment horizontal="center" vertical="center"/>
    </xf>
    <xf numFmtId="0" fontId="97" fillId="56" borderId="38" xfId="0" applyFont="1" applyFill="1" applyBorder="1" applyAlignment="1">
      <alignment horizontal="center" vertical="center" wrapText="1"/>
    </xf>
    <xf numFmtId="0" fontId="97" fillId="56" borderId="43" xfId="0" applyFont="1" applyFill="1" applyBorder="1" applyAlignment="1">
      <alignment horizontal="center" vertical="center" wrapText="1"/>
    </xf>
    <xf numFmtId="4" fontId="101" fillId="0" borderId="43" xfId="0" applyNumberFormat="1" applyFont="1" applyBorder="1" applyAlignment="1">
      <alignment horizontal="right" indent="1"/>
    </xf>
    <xf numFmtId="4" fontId="101" fillId="0" borderId="42" xfId="0" applyNumberFormat="1" applyFont="1" applyBorder="1" applyAlignment="1">
      <alignment horizontal="right" vertical="center" indent="1"/>
    </xf>
    <xf numFmtId="4" fontId="101" fillId="0" borderId="43" xfId="0" applyNumberFormat="1" applyFont="1" applyBorder="1" applyAlignment="1">
      <alignment horizontal="right" vertical="center" indent="1"/>
    </xf>
    <xf numFmtId="4" fontId="101" fillId="0" borderId="0" xfId="0" applyNumberFormat="1" applyFont="1" applyAlignment="1">
      <alignment horizontal="right" vertical="center" indent="1"/>
    </xf>
    <xf numFmtId="4" fontId="101" fillId="0" borderId="0" xfId="0" applyNumberFormat="1" applyFont="1" applyAlignment="1">
      <alignment horizontal="right" indent="1"/>
    </xf>
    <xf numFmtId="4" fontId="101" fillId="0" borderId="10" xfId="0" applyNumberFormat="1" applyFont="1" applyBorder="1" applyAlignment="1">
      <alignment horizontal="right" vertical="center" indent="1"/>
    </xf>
    <xf numFmtId="4" fontId="101" fillId="0" borderId="4" xfId="0" applyNumberFormat="1" applyFont="1" applyBorder="1" applyAlignment="1">
      <alignment horizontal="right" indent="1"/>
    </xf>
    <xf numFmtId="4" fontId="101" fillId="0" borderId="4" xfId="0" applyNumberFormat="1" applyFont="1" applyBorder="1" applyAlignment="1">
      <alignment horizontal="right" vertical="center" indent="1"/>
    </xf>
    <xf numFmtId="4" fontId="101" fillId="0" borderId="10" xfId="0" applyNumberFormat="1" applyFont="1" applyBorder="1" applyAlignment="1">
      <alignment horizontal="right" indent="1"/>
    </xf>
    <xf numFmtId="4" fontId="101" fillId="0" borderId="8" xfId="0" applyNumberFormat="1" applyFont="1" applyBorder="1" applyAlignment="1">
      <alignment horizontal="right" vertical="center" indent="1"/>
    </xf>
    <xf numFmtId="4" fontId="101" fillId="0" borderId="42" xfId="0" applyNumberFormat="1" applyFont="1" applyBorder="1" applyAlignment="1">
      <alignment horizontal="right" indent="1"/>
    </xf>
    <xf numFmtId="4" fontId="101" fillId="0" borderId="38" xfId="0" applyNumberFormat="1" applyFont="1" applyBorder="1" applyAlignment="1">
      <alignment horizontal="right" vertical="center" indent="1"/>
    </xf>
    <xf numFmtId="4" fontId="101" fillId="0" borderId="6" xfId="0" applyNumberFormat="1" applyFont="1" applyBorder="1" applyAlignment="1">
      <alignment horizontal="right" indent="1"/>
    </xf>
    <xf numFmtId="4" fontId="101" fillId="0" borderId="9" xfId="0" applyNumberFormat="1" applyFont="1" applyBorder="1" applyAlignment="1">
      <alignment horizontal="right" vertical="center" indent="1"/>
    </xf>
    <xf numFmtId="4" fontId="101" fillId="0" borderId="7" xfId="0" applyNumberFormat="1" applyFont="1" applyBorder="1" applyAlignment="1">
      <alignment horizontal="right" vertical="center" indent="1"/>
    </xf>
    <xf numFmtId="4" fontId="101" fillId="0" borderId="7" xfId="0" applyNumberFormat="1" applyFont="1" applyBorder="1" applyAlignment="1">
      <alignment horizontal="right" indent="1"/>
    </xf>
    <xf numFmtId="4" fontId="101" fillId="0" borderId="8" xfId="0" applyNumberFormat="1" applyFont="1" applyBorder="1" applyAlignment="1">
      <alignment horizontal="right" indent="1"/>
    </xf>
    <xf numFmtId="4" fontId="101" fillId="0" borderId="5" xfId="0" applyNumberFormat="1" applyFont="1" applyBorder="1" applyAlignment="1">
      <alignment horizontal="right" indent="1"/>
    </xf>
    <xf numFmtId="4" fontId="101" fillId="0" borderId="9" xfId="0" applyNumberFormat="1" applyFont="1" applyBorder="1" applyAlignment="1">
      <alignment horizontal="right" indent="1"/>
    </xf>
    <xf numFmtId="4" fontId="101" fillId="0" borderId="38" xfId="0" applyNumberFormat="1" applyFont="1" applyBorder="1" applyAlignment="1">
      <alignment horizontal="right" indent="1"/>
    </xf>
    <xf numFmtId="4" fontId="103" fillId="0" borderId="10" xfId="0" applyNumberFormat="1" applyFont="1" applyBorder="1" applyAlignment="1">
      <alignment horizontal="right" indent="1"/>
    </xf>
    <xf numFmtId="4" fontId="103" fillId="0" borderId="0" xfId="0" applyNumberFormat="1" applyFont="1" applyAlignment="1">
      <alignment horizontal="right" indent="1"/>
    </xf>
    <xf numFmtId="4" fontId="103" fillId="0" borderId="10" xfId="0" applyNumberFormat="1" applyFont="1" applyBorder="1" applyAlignment="1">
      <alignment horizontal="right" vertical="center" indent="1"/>
    </xf>
    <xf numFmtId="4" fontId="103" fillId="0" borderId="8" xfId="0" applyNumberFormat="1" applyFont="1" applyBorder="1" applyAlignment="1">
      <alignment horizontal="right" indent="1"/>
    </xf>
    <xf numFmtId="4" fontId="102" fillId="0" borderId="0" xfId="0" applyNumberFormat="1" applyFont="1" applyAlignment="1">
      <alignment horizontal="right" indent="1"/>
    </xf>
    <xf numFmtId="4" fontId="102" fillId="0" borderId="10" xfId="0" applyNumberFormat="1" applyFont="1" applyBorder="1" applyAlignment="1">
      <alignment horizontal="right" indent="1"/>
    </xf>
    <xf numFmtId="0" fontId="97" fillId="56" borderId="1" xfId="0" applyFont="1" applyFill="1" applyBorder="1" applyAlignment="1">
      <alignment horizontal="center" vertical="center" textRotation="180" wrapText="1"/>
    </xf>
    <xf numFmtId="0" fontId="97" fillId="56" borderId="3" xfId="0" applyFont="1" applyFill="1" applyBorder="1" applyAlignment="1">
      <alignment horizontal="center" vertical="center" textRotation="180" wrapText="1"/>
    </xf>
    <xf numFmtId="0" fontId="97" fillId="56" borderId="5" xfId="0" applyFont="1" applyFill="1" applyBorder="1" applyAlignment="1">
      <alignment horizontal="center" vertical="center" textRotation="180" wrapText="1"/>
    </xf>
    <xf numFmtId="0" fontId="97" fillId="56" borderId="6" xfId="0" applyFont="1" applyFill="1" applyBorder="1" applyAlignment="1">
      <alignment horizontal="center" vertical="center" textRotation="180" wrapText="1"/>
    </xf>
    <xf numFmtId="0" fontId="97" fillId="56" borderId="2" xfId="0" applyFont="1" applyFill="1" applyBorder="1" applyAlignment="1">
      <alignment horizontal="center" vertical="center" textRotation="180" wrapText="1"/>
    </xf>
    <xf numFmtId="0" fontId="97" fillId="56" borderId="9" xfId="0" applyFont="1" applyFill="1" applyBorder="1" applyAlignment="1">
      <alignment horizontal="center" vertical="center" textRotation="180" wrapText="1"/>
    </xf>
    <xf numFmtId="0" fontId="48" fillId="0" borderId="43" xfId="0" applyFont="1" applyBorder="1" applyAlignment="1">
      <alignment horizontal="center"/>
    </xf>
    <xf numFmtId="0" fontId="48" fillId="0" borderId="0" xfId="0" applyFont="1" applyAlignment="1">
      <alignment horizontal="center"/>
    </xf>
    <xf numFmtId="0" fontId="48" fillId="0" borderId="4" xfId="0" applyFont="1" applyBorder="1" applyAlignment="1">
      <alignment horizontal="center"/>
    </xf>
    <xf numFmtId="0" fontId="48" fillId="0" borderId="38" xfId="0" applyFont="1" applyBorder="1" applyAlignment="1">
      <alignment horizontal="center"/>
    </xf>
    <xf numFmtId="0" fontId="48" fillId="0" borderId="8" xfId="0" applyFont="1" applyBorder="1" applyAlignment="1">
      <alignment horizontal="center"/>
    </xf>
    <xf numFmtId="0" fontId="48" fillId="0" borderId="9" xfId="0" applyFont="1" applyBorder="1" applyAlignment="1">
      <alignment horizontal="center"/>
    </xf>
    <xf numFmtId="0" fontId="104" fillId="0" borderId="37" xfId="0" applyFont="1" applyBorder="1" applyAlignment="1">
      <alignment horizontal="center"/>
    </xf>
    <xf numFmtId="0" fontId="104" fillId="0" borderId="7" xfId="0" applyFont="1" applyBorder="1" applyAlignment="1">
      <alignment horizontal="center"/>
    </xf>
    <xf numFmtId="0" fontId="104" fillId="0" borderId="5" xfId="0" applyFont="1" applyBorder="1" applyAlignment="1">
      <alignment horizontal="center"/>
    </xf>
    <xf numFmtId="170" fontId="100" fillId="0" borderId="42" xfId="0" applyNumberFormat="1" applyFont="1" applyBorder="1" applyAlignment="1">
      <alignment horizontal="right"/>
    </xf>
    <xf numFmtId="170" fontId="101" fillId="0" borderId="43" xfId="0" applyNumberFormat="1" applyFont="1" applyBorder="1" applyAlignment="1">
      <alignment horizontal="right"/>
    </xf>
    <xf numFmtId="170" fontId="101" fillId="0" borderId="42" xfId="0" applyNumberFormat="1" applyFont="1" applyBorder="1" applyAlignment="1">
      <alignment horizontal="right"/>
    </xf>
    <xf numFmtId="170" fontId="101" fillId="0" borderId="42" xfId="0" applyNumberFormat="1" applyFont="1" applyBorder="1" applyAlignment="1">
      <alignment horizontal="right" vertical="center"/>
    </xf>
    <xf numFmtId="170" fontId="101" fillId="0" borderId="38" xfId="0" applyNumberFormat="1" applyFont="1" applyBorder="1" applyAlignment="1">
      <alignment horizontal="right" vertical="center"/>
    </xf>
    <xf numFmtId="170" fontId="101" fillId="0" borderId="43" xfId="0" applyNumberFormat="1" applyFont="1" applyBorder="1" applyAlignment="1">
      <alignment horizontal="right" vertical="center"/>
    </xf>
    <xf numFmtId="170" fontId="101" fillId="0" borderId="10" xfId="0" applyNumberFormat="1" applyFont="1" applyBorder="1" applyAlignment="1">
      <alignment horizontal="right"/>
    </xf>
    <xf numFmtId="170" fontId="101" fillId="0" borderId="0" xfId="0" applyNumberFormat="1" applyFont="1" applyAlignment="1">
      <alignment horizontal="right"/>
    </xf>
    <xf numFmtId="170" fontId="101" fillId="0" borderId="10" xfId="0" applyNumberFormat="1" applyFont="1" applyBorder="1" applyAlignment="1">
      <alignment horizontal="right" vertical="center"/>
    </xf>
    <xf numFmtId="170" fontId="101" fillId="0" borderId="8" xfId="0" applyNumberFormat="1" applyFont="1" applyBorder="1" applyAlignment="1">
      <alignment horizontal="right" vertical="center"/>
    </xf>
    <xf numFmtId="170" fontId="101" fillId="0" borderId="0" xfId="0" applyNumberFormat="1" applyFont="1" applyAlignment="1">
      <alignment horizontal="right" vertical="center"/>
    </xf>
    <xf numFmtId="170" fontId="101" fillId="0" borderId="6" xfId="0" applyNumberFormat="1" applyFont="1" applyBorder="1" applyAlignment="1">
      <alignment horizontal="right"/>
    </xf>
    <xf numFmtId="170" fontId="101" fillId="0" borderId="6" xfId="0" applyNumberFormat="1" applyFont="1" applyBorder="1" applyAlignment="1">
      <alignment horizontal="right" vertical="center"/>
    </xf>
    <xf numFmtId="170" fontId="101" fillId="0" borderId="9" xfId="0" applyNumberFormat="1" applyFont="1" applyBorder="1" applyAlignment="1">
      <alignment horizontal="right" vertical="center"/>
    </xf>
    <xf numFmtId="170" fontId="101" fillId="0" borderId="4" xfId="0" applyNumberFormat="1" applyFont="1" applyBorder="1" applyAlignment="1">
      <alignment horizontal="right" vertical="center"/>
    </xf>
    <xf numFmtId="170" fontId="100" fillId="0" borderId="6" xfId="0" applyNumberFormat="1" applyFont="1" applyBorder="1" applyAlignment="1">
      <alignment horizontal="right"/>
    </xf>
    <xf numFmtId="170" fontId="100" fillId="0" borderId="10" xfId="0" applyNumberFormat="1" applyFont="1" applyBorder="1" applyAlignment="1">
      <alignment horizontal="right"/>
    </xf>
    <xf numFmtId="170" fontId="101" fillId="0" borderId="42" xfId="0" applyNumberFormat="1" applyFont="1" applyBorder="1"/>
    <xf numFmtId="170" fontId="101" fillId="0" borderId="38" xfId="0" applyNumberFormat="1" applyFont="1" applyBorder="1"/>
    <xf numFmtId="170" fontId="101" fillId="0" borderId="10" xfId="0" applyNumberFormat="1" applyFont="1" applyBorder="1"/>
    <xf numFmtId="170" fontId="101" fillId="0" borderId="6" xfId="0" applyNumberFormat="1" applyFont="1" applyBorder="1"/>
    <xf numFmtId="170" fontId="101" fillId="0" borderId="38" xfId="0" applyNumberFormat="1" applyFont="1" applyBorder="1" applyAlignment="1">
      <alignment horizontal="right"/>
    </xf>
    <xf numFmtId="170" fontId="101" fillId="0" borderId="8" xfId="0" applyNumberFormat="1" applyFont="1" applyBorder="1" applyAlignment="1">
      <alignment horizontal="right"/>
    </xf>
    <xf numFmtId="170" fontId="101" fillId="0" borderId="9" xfId="0" applyNumberFormat="1" applyFont="1" applyBorder="1" applyAlignment="1">
      <alignment horizontal="right"/>
    </xf>
    <xf numFmtId="170" fontId="100" fillId="0" borderId="0" xfId="0" applyNumberFormat="1" applyFont="1" applyAlignment="1">
      <alignment horizontal="right"/>
    </xf>
    <xf numFmtId="170" fontId="100" fillId="0" borderId="4" xfId="0" applyNumberFormat="1" applyFont="1" applyBorder="1" applyAlignment="1">
      <alignment horizontal="right"/>
    </xf>
    <xf numFmtId="170" fontId="101" fillId="0" borderId="9" xfId="0" applyNumberFormat="1" applyFont="1" applyBorder="1"/>
    <xf numFmtId="170" fontId="100" fillId="0" borderId="37" xfId="0" applyNumberFormat="1" applyFont="1" applyBorder="1" applyAlignment="1">
      <alignment horizontal="right"/>
    </xf>
    <xf numFmtId="0" fontId="97" fillId="56" borderId="4" xfId="0" applyFont="1" applyFill="1" applyBorder="1" applyAlignment="1">
      <alignment horizontal="center" vertical="center" wrapText="1"/>
    </xf>
    <xf numFmtId="0" fontId="96" fillId="58" borderId="7" xfId="0" applyFont="1" applyFill="1" applyBorder="1" applyAlignment="1">
      <alignment vertical="top"/>
    </xf>
    <xf numFmtId="0" fontId="96" fillId="58" borderId="7" xfId="0" applyFont="1" applyFill="1" applyBorder="1" applyAlignment="1">
      <alignment horizontal="center" vertical="top"/>
    </xf>
    <xf numFmtId="0" fontId="96" fillId="58" borderId="5" xfId="0" applyFont="1" applyFill="1" applyBorder="1" applyAlignment="1">
      <alignment horizontal="center" vertical="top"/>
    </xf>
    <xf numFmtId="4" fontId="101" fillId="0" borderId="42" xfId="0" applyNumberFormat="1" applyFont="1" applyBorder="1" applyAlignment="1">
      <alignment horizontal="center"/>
    </xf>
    <xf numFmtId="4" fontId="101" fillId="0" borderId="43" xfId="0" applyNumberFormat="1" applyFont="1" applyBorder="1" applyAlignment="1">
      <alignment horizontal="center"/>
    </xf>
    <xf numFmtId="4" fontId="101" fillId="0" borderId="43" xfId="0" applyNumberFormat="1" applyFont="1" applyBorder="1" applyAlignment="1">
      <alignment horizontal="center" vertical="center"/>
    </xf>
    <xf numFmtId="4" fontId="101" fillId="0" borderId="42" xfId="0" applyNumberFormat="1" applyFont="1" applyBorder="1" applyAlignment="1">
      <alignment horizontal="center" vertical="center"/>
    </xf>
    <xf numFmtId="4" fontId="101" fillId="0" borderId="10" xfId="0" applyNumberFormat="1" applyFont="1" applyBorder="1" applyAlignment="1">
      <alignment horizontal="center"/>
    </xf>
    <xf numFmtId="4" fontId="101" fillId="0" borderId="0" xfId="0" applyNumberFormat="1" applyFont="1" applyAlignment="1">
      <alignment horizontal="center"/>
    </xf>
    <xf numFmtId="4" fontId="101" fillId="0" borderId="0" xfId="0" applyNumberFormat="1" applyFont="1" applyAlignment="1">
      <alignment horizontal="center" vertical="center"/>
    </xf>
    <xf numFmtId="4" fontId="101" fillId="0" borderId="10" xfId="0" applyNumberFormat="1" applyFont="1" applyBorder="1" applyAlignment="1">
      <alignment horizontal="center" vertical="center"/>
    </xf>
    <xf numFmtId="4" fontId="101" fillId="0" borderId="6" xfId="0" applyNumberFormat="1" applyFont="1" applyBorder="1" applyAlignment="1">
      <alignment horizontal="center"/>
    </xf>
    <xf numFmtId="4" fontId="101" fillId="0" borderId="4" xfId="0" applyNumberFormat="1" applyFont="1" applyBorder="1" applyAlignment="1">
      <alignment horizontal="center"/>
    </xf>
    <xf numFmtId="4" fontId="101" fillId="0" borderId="4" xfId="0" applyNumberFormat="1" applyFont="1" applyBorder="1" applyAlignment="1">
      <alignment horizontal="center" vertical="center"/>
    </xf>
    <xf numFmtId="4" fontId="101" fillId="0" borderId="6" xfId="0" applyNumberFormat="1" applyFont="1" applyBorder="1" applyAlignment="1">
      <alignment horizontal="center" vertical="center"/>
    </xf>
    <xf numFmtId="4" fontId="101" fillId="0" borderId="37" xfId="0" applyNumberFormat="1" applyFont="1" applyBorder="1" applyAlignment="1">
      <alignment horizontal="center" vertical="center"/>
    </xf>
    <xf numFmtId="4" fontId="101" fillId="0" borderId="7" xfId="0" applyNumberFormat="1" applyFont="1" applyBorder="1" applyAlignment="1">
      <alignment horizontal="center" vertical="center"/>
    </xf>
    <xf numFmtId="4" fontId="101" fillId="0" borderId="7" xfId="0" applyNumberFormat="1" applyFont="1" applyBorder="1" applyAlignment="1">
      <alignment horizontal="center"/>
    </xf>
    <xf numFmtId="4" fontId="101" fillId="0" borderId="5" xfId="0" applyNumberFormat="1" applyFont="1" applyBorder="1" applyAlignment="1">
      <alignment horizontal="center"/>
    </xf>
    <xf numFmtId="4" fontId="101" fillId="0" borderId="37" xfId="0" applyNumberFormat="1" applyFont="1" applyBorder="1" applyAlignment="1">
      <alignment horizontal="center"/>
    </xf>
    <xf numFmtId="2" fontId="101" fillId="0" borderId="42" xfId="0" applyNumberFormat="1" applyFont="1" applyBorder="1" applyAlignment="1">
      <alignment horizontal="center"/>
    </xf>
    <xf numFmtId="2" fontId="101" fillId="0" borderId="10" xfId="0" applyNumberFormat="1" applyFont="1" applyBorder="1" applyAlignment="1">
      <alignment horizontal="center"/>
    </xf>
    <xf numFmtId="4" fontId="101" fillId="0" borderId="1" xfId="0" applyNumberFormat="1" applyFont="1" applyBorder="1" applyAlignment="1">
      <alignment horizontal="center"/>
    </xf>
    <xf numFmtId="2" fontId="101" fillId="0" borderId="1" xfId="0" applyNumberFormat="1" applyFont="1" applyBorder="1" applyAlignment="1">
      <alignment horizontal="center"/>
    </xf>
    <xf numFmtId="4" fontId="104" fillId="0" borderId="10" xfId="0" applyNumberFormat="1" applyFont="1" applyBorder="1" applyAlignment="1">
      <alignment horizontal="center" vertical="center" wrapText="1"/>
    </xf>
    <xf numFmtId="4" fontId="105" fillId="0" borderId="10" xfId="0" applyNumberFormat="1" applyFont="1" applyBorder="1" applyAlignment="1">
      <alignment horizontal="center" vertical="center" wrapText="1"/>
    </xf>
    <xf numFmtId="0" fontId="97" fillId="56" borderId="3" xfId="0" applyFont="1" applyFill="1" applyBorder="1" applyAlignment="1">
      <alignment horizontal="center" vertical="top" textRotation="180" wrapText="1"/>
    </xf>
    <xf numFmtId="2" fontId="101" fillId="0" borderId="37" xfId="0" applyNumberFormat="1" applyFont="1" applyBorder="1"/>
    <xf numFmtId="2" fontId="101" fillId="0" borderId="42" xfId="0" applyNumberFormat="1" applyFont="1" applyBorder="1"/>
    <xf numFmtId="2" fontId="101" fillId="0" borderId="43" xfId="0" applyNumberFormat="1" applyFont="1" applyBorder="1"/>
    <xf numFmtId="2" fontId="101" fillId="0" borderId="7" xfId="0" applyNumberFormat="1" applyFont="1" applyBorder="1"/>
    <xf numFmtId="2" fontId="101" fillId="0" borderId="10" xfId="0" applyNumberFormat="1" applyFont="1" applyBorder="1"/>
    <xf numFmtId="2" fontId="101" fillId="0" borderId="0" xfId="0" applyNumberFormat="1" applyFont="1"/>
    <xf numFmtId="2" fontId="101" fillId="0" borderId="5" xfId="0" applyNumberFormat="1" applyFont="1" applyBorder="1"/>
    <xf numFmtId="2" fontId="101" fillId="0" borderId="6" xfId="0" applyNumberFormat="1" applyFont="1" applyBorder="1"/>
    <xf numFmtId="2" fontId="101" fillId="0" borderId="4" xfId="0" applyNumberFormat="1" applyFont="1" applyBorder="1"/>
    <xf numFmtId="2" fontId="101" fillId="0" borderId="38" xfId="0" applyNumberFormat="1" applyFont="1" applyBorder="1"/>
    <xf numFmtId="2" fontId="101" fillId="0" borderId="8" xfId="0" applyNumberFormat="1" applyFont="1" applyBorder="1"/>
    <xf numFmtId="2" fontId="101" fillId="0" borderId="9" xfId="0" applyNumberFormat="1" applyFont="1" applyBorder="1"/>
    <xf numFmtId="2" fontId="102" fillId="0" borderId="42" xfId="0" applyNumberFormat="1" applyFont="1" applyBorder="1"/>
    <xf numFmtId="168" fontId="101" fillId="0" borderId="10" xfId="0" applyNumberFormat="1" applyFont="1" applyBorder="1"/>
    <xf numFmtId="168" fontId="102" fillId="0" borderId="6" xfId="0" applyNumberFormat="1" applyFont="1" applyBorder="1"/>
    <xf numFmtId="168" fontId="101" fillId="0" borderId="42" xfId="0" applyNumberFormat="1" applyFont="1" applyBorder="1"/>
    <xf numFmtId="168" fontId="101" fillId="0" borderId="6" xfId="0" applyNumberFormat="1" applyFont="1" applyBorder="1"/>
    <xf numFmtId="4" fontId="101" fillId="0" borderId="38" xfId="0" applyNumberFormat="1" applyFont="1" applyBorder="1" applyAlignment="1">
      <alignment horizontal="center"/>
    </xf>
    <xf numFmtId="4" fontId="101" fillId="0" borderId="8" xfId="0" applyNumberFormat="1" applyFont="1" applyBorder="1" applyAlignment="1">
      <alignment horizontal="center"/>
    </xf>
    <xf numFmtId="4" fontId="101" fillId="0" borderId="9" xfId="0" applyNumberFormat="1" applyFont="1" applyBorder="1" applyAlignment="1">
      <alignment horizontal="center"/>
    </xf>
    <xf numFmtId="4" fontId="101" fillId="0" borderId="8" xfId="0" applyNumberFormat="1" applyFont="1" applyBorder="1" applyAlignment="1">
      <alignment horizontal="center" vertical="center"/>
    </xf>
    <xf numFmtId="4" fontId="101" fillId="0" borderId="9" xfId="0" applyNumberFormat="1" applyFont="1" applyBorder="1" applyAlignment="1">
      <alignment horizontal="center" vertical="center"/>
    </xf>
    <xf numFmtId="4" fontId="102" fillId="0" borderId="6" xfId="0" applyNumberFormat="1" applyFont="1" applyBorder="1" applyAlignment="1">
      <alignment horizontal="center" vertical="center"/>
    </xf>
    <xf numFmtId="4" fontId="102" fillId="0" borderId="42" xfId="0" applyNumberFormat="1" applyFont="1" applyBorder="1" applyAlignment="1">
      <alignment horizontal="center" vertical="center"/>
    </xf>
    <xf numFmtId="0" fontId="96" fillId="58" borderId="7" xfId="0" applyFont="1" applyFill="1" applyBorder="1" applyAlignment="1">
      <alignment horizontal="center" vertical="center"/>
    </xf>
    <xf numFmtId="0" fontId="96" fillId="58" borderId="5" xfId="0" applyFont="1" applyFill="1" applyBorder="1" applyAlignment="1">
      <alignment horizontal="center" vertical="center"/>
    </xf>
    <xf numFmtId="0" fontId="96" fillId="58" borderId="7" xfId="0" applyFont="1" applyFill="1" applyBorder="1" applyAlignment="1">
      <alignment vertical="center"/>
    </xf>
    <xf numFmtId="0" fontId="96" fillId="58" borderId="5" xfId="0" applyFont="1" applyFill="1" applyBorder="1" applyAlignment="1">
      <alignment vertical="center"/>
    </xf>
    <xf numFmtId="170" fontId="101" fillId="0" borderId="37" xfId="0" applyNumberFormat="1" applyFont="1" applyBorder="1" applyAlignment="1">
      <alignment horizontal="right" indent="1"/>
    </xf>
    <xf numFmtId="170" fontId="101" fillId="0" borderId="42" xfId="0" applyNumberFormat="1" applyFont="1" applyBorder="1" applyAlignment="1">
      <alignment horizontal="right" indent="1"/>
    </xf>
    <xf numFmtId="170" fontId="101" fillId="0" borderId="38" xfId="0" applyNumberFormat="1" applyFont="1" applyBorder="1" applyAlignment="1">
      <alignment horizontal="right" indent="1"/>
    </xf>
    <xf numFmtId="170" fontId="101" fillId="0" borderId="43" xfId="0" applyNumberFormat="1" applyFont="1" applyBorder="1" applyAlignment="1">
      <alignment horizontal="right" vertical="center" indent="1"/>
    </xf>
    <xf numFmtId="170" fontId="101" fillId="0" borderId="42" xfId="0" applyNumberFormat="1" applyFont="1" applyBorder="1" applyAlignment="1">
      <alignment horizontal="right" vertical="center" indent="1"/>
    </xf>
    <xf numFmtId="170" fontId="101" fillId="0" borderId="7" xfId="0" applyNumberFormat="1" applyFont="1" applyBorder="1" applyAlignment="1">
      <alignment horizontal="right" indent="1"/>
    </xf>
    <xf numFmtId="170" fontId="101" fillId="0" borderId="10" xfId="0" applyNumberFormat="1" applyFont="1" applyBorder="1" applyAlignment="1">
      <alignment horizontal="right" indent="1"/>
    </xf>
    <xf numFmtId="170" fontId="101" fillId="0" borderId="8" xfId="0" applyNumberFormat="1" applyFont="1" applyBorder="1" applyAlignment="1">
      <alignment horizontal="right" indent="1"/>
    </xf>
    <xf numFmtId="170" fontId="101" fillId="0" borderId="0" xfId="0" applyNumberFormat="1" applyFont="1" applyAlignment="1">
      <alignment horizontal="right" vertical="center" indent="1"/>
    </xf>
    <xf numFmtId="170" fontId="101" fillId="0" borderId="10" xfId="0" applyNumberFormat="1" applyFont="1" applyBorder="1" applyAlignment="1">
      <alignment horizontal="right" vertical="center" indent="1"/>
    </xf>
    <xf numFmtId="170" fontId="101" fillId="0" borderId="6" xfId="0" applyNumberFormat="1" applyFont="1" applyBorder="1" applyAlignment="1">
      <alignment horizontal="right" indent="1"/>
    </xf>
    <xf numFmtId="170" fontId="101" fillId="0" borderId="9" xfId="0" applyNumberFormat="1" applyFont="1" applyBorder="1" applyAlignment="1">
      <alignment horizontal="right" indent="1"/>
    </xf>
    <xf numFmtId="170" fontId="101" fillId="0" borderId="4" xfId="0" applyNumberFormat="1" applyFont="1" applyBorder="1" applyAlignment="1">
      <alignment horizontal="right" vertical="center" indent="1"/>
    </xf>
    <xf numFmtId="170" fontId="101" fillId="0" borderId="6" xfId="0" applyNumberFormat="1" applyFont="1" applyBorder="1" applyAlignment="1">
      <alignment horizontal="right" vertical="center" indent="1"/>
    </xf>
    <xf numFmtId="170" fontId="101" fillId="0" borderId="0" xfId="0" applyNumberFormat="1" applyFont="1" applyAlignment="1">
      <alignment horizontal="right" indent="1"/>
    </xf>
    <xf numFmtId="170" fontId="101" fillId="0" borderId="4" xfId="0" applyNumberFormat="1" applyFont="1" applyBorder="1" applyAlignment="1">
      <alignment horizontal="right" indent="1"/>
    </xf>
    <xf numFmtId="170" fontId="102" fillId="0" borderId="10" xfId="0" applyNumberFormat="1" applyFont="1" applyBorder="1" applyAlignment="1">
      <alignment horizontal="right" indent="1"/>
    </xf>
    <xf numFmtId="4" fontId="106" fillId="0" borderId="42" xfId="0" applyNumberFormat="1" applyFont="1" applyBorder="1" applyAlignment="1">
      <alignment horizontal="right" indent="1"/>
    </xf>
    <xf numFmtId="4" fontId="106" fillId="0" borderId="10" xfId="0" applyNumberFormat="1" applyFont="1" applyBorder="1" applyAlignment="1">
      <alignment horizontal="right" indent="1"/>
    </xf>
    <xf numFmtId="4" fontId="106" fillId="0" borderId="6" xfId="0" applyNumberFormat="1" applyFont="1" applyBorder="1" applyAlignment="1">
      <alignment horizontal="right" indent="1"/>
    </xf>
    <xf numFmtId="0" fontId="95" fillId="0" borderId="0" xfId="0" applyFont="1" applyProtection="1">
      <protection locked="0"/>
    </xf>
    <xf numFmtId="0" fontId="97" fillId="56" borderId="10" xfId="0" applyFont="1" applyFill="1" applyBorder="1" applyAlignment="1" applyProtection="1">
      <alignment horizontal="center" vertical="center" wrapText="1"/>
      <protection locked="0"/>
    </xf>
    <xf numFmtId="0" fontId="97" fillId="56" borderId="1" xfId="0" applyFont="1" applyFill="1" applyBorder="1" applyAlignment="1" applyProtection="1">
      <alignment horizontal="center" vertical="center" wrapText="1"/>
      <protection locked="0"/>
    </xf>
    <xf numFmtId="3" fontId="100" fillId="0" borderId="42" xfId="0" applyNumberFormat="1" applyFont="1" applyBorder="1" applyAlignment="1">
      <alignment horizontal="right" indent="1"/>
    </xf>
    <xf numFmtId="3" fontId="100" fillId="0" borderId="10" xfId="0" applyNumberFormat="1" applyFont="1" applyBorder="1" applyAlignment="1">
      <alignment horizontal="right" indent="1"/>
    </xf>
    <xf numFmtId="3" fontId="100" fillId="0" borderId="6" xfId="0" applyNumberFormat="1" applyFont="1" applyBorder="1" applyAlignment="1">
      <alignment horizontal="right" indent="1"/>
    </xf>
    <xf numFmtId="3" fontId="100" fillId="0" borderId="9" xfId="0" applyNumberFormat="1" applyFont="1" applyBorder="1" applyAlignment="1">
      <alignment horizontal="right" indent="1"/>
    </xf>
    <xf numFmtId="3" fontId="102" fillId="0" borderId="10" xfId="0" applyNumberFormat="1" applyFont="1" applyBorder="1" applyAlignment="1">
      <alignment horizontal="right" indent="1"/>
    </xf>
    <xf numFmtId="3" fontId="101" fillId="0" borderId="10" xfId="0" applyNumberFormat="1" applyFont="1" applyBorder="1" applyAlignment="1">
      <alignment horizontal="right" indent="1"/>
    </xf>
    <xf numFmtId="3" fontId="102" fillId="0" borderId="6" xfId="0" applyNumberFormat="1" applyFont="1" applyBorder="1" applyAlignment="1">
      <alignment horizontal="right" indent="1"/>
    </xf>
    <xf numFmtId="3" fontId="101" fillId="0" borderId="6" xfId="0" applyNumberFormat="1" applyFont="1" applyBorder="1" applyAlignment="1">
      <alignment horizontal="right" indent="1"/>
    </xf>
    <xf numFmtId="171" fontId="100" fillId="0" borderId="42" xfId="0" applyNumberFormat="1" applyFont="1" applyBorder="1" applyAlignment="1">
      <alignment horizontal="right" indent="1"/>
    </xf>
    <xf numFmtId="171" fontId="100" fillId="0" borderId="6" xfId="0" applyNumberFormat="1" applyFont="1" applyBorder="1" applyAlignment="1">
      <alignment horizontal="right" indent="1"/>
    </xf>
    <xf numFmtId="171" fontId="100" fillId="0" borderId="38" xfId="0" applyNumberFormat="1" applyFont="1" applyBorder="1" applyAlignment="1">
      <alignment horizontal="right" indent="1"/>
    </xf>
    <xf numFmtId="171" fontId="100" fillId="0" borderId="10" xfId="0" applyNumberFormat="1" applyFont="1" applyBorder="1" applyAlignment="1">
      <alignment horizontal="right" indent="1"/>
    </xf>
    <xf numFmtId="4" fontId="102" fillId="0" borderId="6" xfId="0" applyNumberFormat="1" applyFont="1" applyBorder="1" applyAlignment="1">
      <alignment horizontal="right" indent="1"/>
    </xf>
    <xf numFmtId="4" fontId="100" fillId="0" borderId="42" xfId="0" quotePrefix="1" applyNumberFormat="1" applyFont="1" applyBorder="1" applyAlignment="1">
      <alignment horizontal="right" indent="1"/>
    </xf>
    <xf numFmtId="4" fontId="107" fillId="0" borderId="10" xfId="0" applyNumberFormat="1" applyFont="1" applyBorder="1" applyAlignment="1">
      <alignment horizontal="right" indent="1"/>
    </xf>
    <xf numFmtId="4" fontId="2" fillId="0" borderId="10" xfId="0" applyNumberFormat="1" applyFont="1" applyBorder="1" applyAlignment="1">
      <alignment horizontal="right" indent="1"/>
    </xf>
    <xf numFmtId="4" fontId="107" fillId="0" borderId="6" xfId="0" applyNumberFormat="1" applyFont="1" applyBorder="1" applyAlignment="1">
      <alignment horizontal="right" indent="1"/>
    </xf>
    <xf numFmtId="4" fontId="2" fillId="0" borderId="6" xfId="0" applyNumberFormat="1" applyFont="1" applyBorder="1" applyAlignment="1">
      <alignment horizontal="right" indent="1"/>
    </xf>
    <xf numFmtId="4" fontId="2" fillId="0" borderId="42" xfId="0" applyNumberFormat="1" applyFont="1" applyBorder="1" applyAlignment="1">
      <alignment horizontal="right" indent="1"/>
    </xf>
    <xf numFmtId="0" fontId="97" fillId="56" borderId="0" xfId="0" applyFont="1" applyFill="1" applyAlignment="1" applyProtection="1">
      <alignment horizontal="left" vertical="center" wrapText="1"/>
      <protection locked="0"/>
    </xf>
    <xf numFmtId="0" fontId="97" fillId="56" borderId="2" xfId="0" applyFont="1" applyFill="1" applyBorder="1" applyAlignment="1" applyProtection="1">
      <alignment horizontal="center" vertical="center" wrapText="1"/>
      <protection locked="0"/>
    </xf>
    <xf numFmtId="0" fontId="97" fillId="56" borderId="6" xfId="0" applyFont="1" applyFill="1" applyBorder="1" applyAlignment="1" applyProtection="1">
      <alignment horizontal="center" vertical="center" wrapText="1"/>
      <protection locked="0"/>
    </xf>
    <xf numFmtId="0" fontId="97" fillId="56" borderId="3" xfId="0" applyFont="1" applyFill="1" applyBorder="1" applyAlignment="1" applyProtection="1">
      <alignment horizontal="center" vertical="center" wrapText="1"/>
      <protection locked="0"/>
    </xf>
    <xf numFmtId="3" fontId="100" fillId="0" borderId="42" xfId="0" applyNumberFormat="1" applyFont="1" applyBorder="1" applyAlignment="1">
      <alignment horizontal="center"/>
    </xf>
    <xf numFmtId="3" fontId="100" fillId="0" borderId="10" xfId="0" applyNumberFormat="1" applyFont="1" applyBorder="1" applyAlignment="1">
      <alignment horizontal="center"/>
    </xf>
    <xf numFmtId="3" fontId="100" fillId="0" borderId="0" xfId="0" applyNumberFormat="1" applyFont="1" applyAlignment="1">
      <alignment horizontal="center"/>
    </xf>
    <xf numFmtId="3" fontId="100" fillId="0" borderId="6" xfId="0" applyNumberFormat="1" applyFont="1" applyBorder="1" applyAlignment="1">
      <alignment horizontal="center"/>
    </xf>
    <xf numFmtId="3" fontId="100" fillId="0" borderId="38" xfId="0" applyNumberFormat="1" applyFont="1" applyBorder="1" applyAlignment="1">
      <alignment horizontal="center"/>
    </xf>
    <xf numFmtId="3" fontId="100" fillId="0" borderId="8" xfId="0" applyNumberFormat="1" applyFont="1" applyBorder="1" applyAlignment="1">
      <alignment horizontal="center"/>
    </xf>
    <xf numFmtId="3" fontId="100" fillId="0" borderId="9" xfId="0" applyNumberFormat="1" applyFont="1" applyBorder="1" applyAlignment="1">
      <alignment horizontal="center"/>
    </xf>
    <xf numFmtId="3" fontId="102" fillId="0" borderId="10" xfId="0" applyNumberFormat="1" applyFont="1" applyBorder="1" applyAlignment="1">
      <alignment horizontal="center"/>
    </xf>
    <xf numFmtId="3" fontId="107" fillId="0" borderId="10" xfId="0" applyNumberFormat="1" applyFont="1" applyBorder="1" applyAlignment="1">
      <alignment horizontal="center"/>
    </xf>
    <xf numFmtId="3" fontId="2" fillId="0" borderId="10" xfId="0" applyNumberFormat="1" applyFont="1" applyBorder="1" applyAlignment="1">
      <alignment horizontal="center"/>
    </xf>
    <xf numFmtId="3" fontId="107" fillId="0" borderId="6" xfId="0" applyNumberFormat="1" applyFont="1" applyBorder="1" applyAlignment="1">
      <alignment horizontal="center"/>
    </xf>
    <xf numFmtId="3" fontId="2" fillId="0" borderId="6" xfId="0" applyNumberFormat="1" applyFont="1" applyBorder="1" applyAlignment="1">
      <alignment horizontal="center"/>
    </xf>
    <xf numFmtId="3" fontId="2" fillId="0" borderId="5" xfId="0" applyNumberFormat="1" applyFont="1" applyBorder="1" applyAlignment="1">
      <alignment horizontal="center"/>
    </xf>
    <xf numFmtId="3" fontId="2" fillId="0" borderId="9" xfId="0" applyNumberFormat="1" applyFont="1" applyBorder="1" applyAlignment="1">
      <alignment horizontal="center"/>
    </xf>
    <xf numFmtId="3" fontId="2" fillId="0" borderId="42" xfId="0" applyNumberFormat="1" applyFont="1" applyBorder="1" applyAlignment="1">
      <alignment horizontal="center"/>
    </xf>
    <xf numFmtId="0" fontId="99" fillId="58" borderId="38" xfId="0" applyFont="1" applyFill="1" applyBorder="1" applyAlignment="1">
      <alignment horizontal="center" vertical="center"/>
    </xf>
    <xf numFmtId="0" fontId="99" fillId="58" borderId="8" xfId="0" applyFont="1" applyFill="1" applyBorder="1" applyAlignment="1">
      <alignment horizontal="center" vertical="center"/>
    </xf>
    <xf numFmtId="0" fontId="99" fillId="58" borderId="9" xfId="0" applyFont="1" applyFill="1" applyBorder="1" applyAlignment="1">
      <alignment horizontal="center" vertical="center"/>
    </xf>
    <xf numFmtId="0" fontId="99" fillId="58" borderId="0" xfId="0" applyFont="1" applyFill="1" applyAlignment="1">
      <alignment horizontal="center" vertical="center"/>
    </xf>
    <xf numFmtId="0" fontId="99" fillId="58" borderId="4" xfId="0" applyFont="1" applyFill="1" applyBorder="1" applyAlignment="1">
      <alignment horizontal="center" vertical="center"/>
    </xf>
    <xf numFmtId="0" fontId="99" fillId="58" borderId="43" xfId="0" applyFont="1" applyFill="1" applyBorder="1" applyAlignment="1">
      <alignment horizontal="center" vertical="center"/>
    </xf>
    <xf numFmtId="4" fontId="2" fillId="0" borderId="43" xfId="0" applyNumberFormat="1" applyFont="1" applyBorder="1" applyAlignment="1">
      <alignment horizontal="right" indent="1"/>
    </xf>
    <xf numFmtId="4" fontId="2" fillId="0" borderId="38" xfId="0" applyNumberFormat="1" applyFont="1" applyBorder="1" applyAlignment="1">
      <alignment horizontal="right" indent="1"/>
    </xf>
    <xf numFmtId="169" fontId="99" fillId="58" borderId="38" xfId="0" applyNumberFormat="1" applyFont="1" applyFill="1" applyBorder="1" applyAlignment="1">
      <alignment horizontal="center"/>
    </xf>
    <xf numFmtId="169" fontId="99" fillId="58" borderId="8" xfId="0" applyNumberFormat="1" applyFont="1" applyFill="1" applyBorder="1" applyAlignment="1">
      <alignment horizontal="center"/>
    </xf>
    <xf numFmtId="169" fontId="99" fillId="58" borderId="9" xfId="0" applyNumberFormat="1" applyFont="1" applyFill="1" applyBorder="1" applyAlignment="1">
      <alignment horizontal="center"/>
    </xf>
    <xf numFmtId="169" fontId="99" fillId="58" borderId="43" xfId="0" applyNumberFormat="1" applyFont="1" applyFill="1" applyBorder="1" applyAlignment="1">
      <alignment horizontal="center"/>
    </xf>
    <xf numFmtId="169" fontId="99" fillId="58" borderId="0" xfId="0" applyNumberFormat="1" applyFont="1" applyFill="1" applyAlignment="1">
      <alignment horizontal="center"/>
    </xf>
    <xf numFmtId="169" fontId="99" fillId="58" borderId="4" xfId="0" applyNumberFormat="1" applyFont="1" applyFill="1" applyBorder="1" applyAlignment="1">
      <alignment horizontal="center"/>
    </xf>
    <xf numFmtId="167" fontId="100" fillId="0" borderId="42" xfId="0" applyNumberFormat="1" applyFont="1" applyBorder="1" applyAlignment="1">
      <alignment horizontal="center"/>
    </xf>
    <xf numFmtId="167" fontId="100" fillId="0" borderId="38" xfId="0" applyNumberFormat="1" applyFont="1" applyBorder="1" applyAlignment="1">
      <alignment horizontal="center"/>
    </xf>
    <xf numFmtId="167" fontId="100" fillId="0" borderId="10" xfId="0" applyNumberFormat="1" applyFont="1" applyBorder="1" applyAlignment="1">
      <alignment horizontal="center"/>
    </xf>
    <xf numFmtId="167" fontId="100" fillId="0" borderId="8" xfId="0" applyNumberFormat="1" applyFont="1" applyBorder="1" applyAlignment="1">
      <alignment horizontal="center"/>
    </xf>
    <xf numFmtId="167" fontId="100" fillId="0" borderId="6" xfId="0" applyNumberFormat="1" applyFont="1" applyBorder="1" applyAlignment="1">
      <alignment horizontal="center"/>
    </xf>
    <xf numFmtId="167" fontId="100" fillId="0" borderId="9" xfId="0" applyNumberFormat="1" applyFont="1" applyBorder="1" applyAlignment="1">
      <alignment horizontal="center"/>
    </xf>
    <xf numFmtId="167" fontId="109" fillId="0" borderId="10" xfId="0" applyNumberFormat="1" applyFont="1" applyBorder="1" applyAlignment="1">
      <alignment horizontal="center"/>
    </xf>
    <xf numFmtId="167" fontId="110" fillId="0" borderId="10" xfId="0" applyNumberFormat="1" applyFont="1" applyBorder="1" applyAlignment="1">
      <alignment horizontal="center"/>
    </xf>
    <xf numFmtId="167" fontId="109" fillId="0" borderId="6" xfId="0" applyNumberFormat="1" applyFont="1" applyBorder="1" applyAlignment="1">
      <alignment horizontal="center"/>
    </xf>
    <xf numFmtId="167" fontId="110" fillId="0" borderId="6" xfId="0" applyNumberFormat="1" applyFont="1" applyBorder="1" applyAlignment="1">
      <alignment horizontal="center"/>
    </xf>
    <xf numFmtId="167" fontId="100" fillId="0" borderId="4" xfId="0" applyNumberFormat="1" applyFont="1" applyBorder="1" applyAlignment="1">
      <alignment horizontal="center"/>
    </xf>
    <xf numFmtId="167" fontId="101" fillId="0" borderId="10" xfId="0" applyNumberFormat="1" applyFont="1" applyBorder="1" applyAlignment="1">
      <alignment horizontal="center"/>
    </xf>
    <xf numFmtId="167" fontId="101" fillId="0" borderId="6" xfId="0" applyNumberFormat="1" applyFont="1" applyBorder="1" applyAlignment="1">
      <alignment horizontal="center"/>
    </xf>
    <xf numFmtId="167" fontId="101" fillId="0" borderId="42" xfId="0" applyNumberFormat="1" applyFont="1" applyBorder="1" applyAlignment="1">
      <alignment horizontal="center"/>
    </xf>
    <xf numFmtId="167" fontId="100" fillId="0" borderId="5" xfId="0" applyNumberFormat="1" applyFont="1" applyBorder="1" applyAlignment="1">
      <alignment horizontal="center"/>
    </xf>
    <xf numFmtId="167" fontId="100" fillId="0" borderId="0" xfId="0" applyNumberFormat="1" applyFont="1" applyAlignment="1">
      <alignment horizontal="center"/>
    </xf>
    <xf numFmtId="167" fontId="109" fillId="0" borderId="10" xfId="0" applyNumberFormat="1" applyFont="1" applyBorder="1" applyAlignment="1">
      <alignment horizontal="center" vertical="center"/>
    </xf>
    <xf numFmtId="167" fontId="109" fillId="0" borderId="6" xfId="0" applyNumberFormat="1" applyFont="1" applyBorder="1" applyAlignment="1">
      <alignment horizontal="center" vertical="center"/>
    </xf>
    <xf numFmtId="0" fontId="111" fillId="0" borderId="0" xfId="0" applyFont="1" applyAlignment="1">
      <alignment horizontal="left"/>
    </xf>
    <xf numFmtId="0" fontId="96" fillId="58" borderId="43" xfId="0" applyFont="1" applyFill="1" applyBorder="1" applyAlignment="1">
      <alignment horizontal="center"/>
    </xf>
    <xf numFmtId="167" fontId="102" fillId="0" borderId="10" xfId="0" applyNumberFormat="1" applyFont="1" applyBorder="1" applyAlignment="1">
      <alignment horizontal="center"/>
    </xf>
    <xf numFmtId="0" fontId="114" fillId="56" borderId="42" xfId="0" applyFont="1" applyFill="1" applyBorder="1" applyAlignment="1">
      <alignment horizontal="center" vertical="center" wrapText="1"/>
    </xf>
    <xf numFmtId="0" fontId="114" fillId="56" borderId="38" xfId="0" applyFont="1" applyFill="1" applyBorder="1" applyAlignment="1">
      <alignment horizontal="center" vertical="center" wrapText="1"/>
    </xf>
    <xf numFmtId="167" fontId="100" fillId="0" borderId="7" xfId="0" applyNumberFormat="1" applyFont="1" applyBorder="1" applyAlignment="1">
      <alignment horizontal="center"/>
    </xf>
    <xf numFmtId="0" fontId="96" fillId="58" borderId="4" xfId="0" applyFont="1" applyFill="1" applyBorder="1"/>
    <xf numFmtId="0" fontId="96" fillId="58" borderId="37" xfId="0" applyFont="1" applyFill="1" applyBorder="1"/>
    <xf numFmtId="0" fontId="98" fillId="0" borderId="0" xfId="0" applyFont="1" applyAlignment="1" applyProtection="1">
      <alignment vertical="center"/>
      <protection locked="0"/>
    </xf>
    <xf numFmtId="165" fontId="100" fillId="0" borderId="42" xfId="0" applyNumberFormat="1" applyFont="1" applyBorder="1" applyAlignment="1">
      <alignment horizontal="center"/>
    </xf>
    <xf numFmtId="165" fontId="100" fillId="0" borderId="43" xfId="0" applyNumberFormat="1" applyFont="1" applyBorder="1" applyAlignment="1">
      <alignment horizontal="center"/>
    </xf>
    <xf numFmtId="165" fontId="100" fillId="0" borderId="38" xfId="0" applyNumberFormat="1" applyFont="1" applyBorder="1" applyAlignment="1">
      <alignment horizontal="center" vertical="center"/>
    </xf>
    <xf numFmtId="165" fontId="100" fillId="0" borderId="10" xfId="0" applyNumberFormat="1" applyFont="1" applyBorder="1" applyAlignment="1">
      <alignment horizontal="center"/>
    </xf>
    <xf numFmtId="165" fontId="100" fillId="0" borderId="0" xfId="0" applyNumberFormat="1" applyFont="1" applyAlignment="1">
      <alignment horizontal="center"/>
    </xf>
    <xf numFmtId="165" fontId="100" fillId="0" borderId="8" xfId="0" applyNumberFormat="1" applyFont="1" applyBorder="1" applyAlignment="1">
      <alignment horizontal="center" vertical="center"/>
    </xf>
    <xf numFmtId="165" fontId="100" fillId="0" borderId="6" xfId="0" applyNumberFormat="1" applyFont="1" applyBorder="1" applyAlignment="1">
      <alignment horizontal="center"/>
    </xf>
    <xf numFmtId="165" fontId="100" fillId="0" borderId="4" xfId="0" applyNumberFormat="1" applyFont="1" applyBorder="1" applyAlignment="1">
      <alignment horizontal="center"/>
    </xf>
    <xf numFmtId="165" fontId="100" fillId="0" borderId="9" xfId="0" applyNumberFormat="1" applyFont="1" applyBorder="1" applyAlignment="1">
      <alignment horizontal="center" vertical="center"/>
    </xf>
    <xf numFmtId="165" fontId="100" fillId="0" borderId="42" xfId="0" applyNumberFormat="1" applyFont="1" applyBorder="1" applyAlignment="1">
      <alignment horizontal="center" vertical="center"/>
    </xf>
    <xf numFmtId="165" fontId="100" fillId="0" borderId="43" xfId="0" applyNumberFormat="1" applyFont="1" applyBorder="1" applyAlignment="1">
      <alignment horizontal="center" vertical="center"/>
    </xf>
    <xf numFmtId="165" fontId="100" fillId="0" borderId="10" xfId="0" applyNumberFormat="1" applyFont="1" applyBorder="1" applyAlignment="1">
      <alignment horizontal="center" vertical="center"/>
    </xf>
    <xf numFmtId="165" fontId="100" fillId="0" borderId="0" xfId="0" applyNumberFormat="1" applyFont="1" applyAlignment="1">
      <alignment horizontal="center" vertical="center"/>
    </xf>
    <xf numFmtId="165" fontId="100" fillId="0" borderId="6" xfId="0" applyNumberFormat="1" applyFont="1" applyBorder="1" applyAlignment="1">
      <alignment horizontal="center" vertical="center"/>
    </xf>
    <xf numFmtId="165" fontId="100" fillId="0" borderId="4" xfId="0" applyNumberFormat="1" applyFont="1" applyBorder="1" applyAlignment="1">
      <alignment horizontal="center" vertical="center"/>
    </xf>
    <xf numFmtId="0" fontId="100" fillId="0" borderId="42" xfId="0" applyFont="1" applyBorder="1" applyAlignment="1">
      <alignment horizontal="center"/>
    </xf>
    <xf numFmtId="168" fontId="100" fillId="0" borderId="42" xfId="0" applyNumberFormat="1" applyFont="1" applyBorder="1" applyAlignment="1">
      <alignment horizontal="center"/>
    </xf>
    <xf numFmtId="168" fontId="100" fillId="0" borderId="10" xfId="0" applyNumberFormat="1" applyFont="1" applyBorder="1" applyAlignment="1">
      <alignment horizontal="center"/>
    </xf>
    <xf numFmtId="0" fontId="100" fillId="0" borderId="10" xfId="0" applyFont="1" applyBorder="1" applyAlignment="1">
      <alignment horizontal="center"/>
    </xf>
    <xf numFmtId="168" fontId="100" fillId="0" borderId="6" xfId="0" applyNumberFormat="1" applyFont="1" applyBorder="1" applyAlignment="1">
      <alignment horizontal="center"/>
    </xf>
    <xf numFmtId="0" fontId="100" fillId="0" borderId="6" xfId="0" applyFont="1" applyBorder="1" applyAlignment="1">
      <alignment horizontal="center"/>
    </xf>
    <xf numFmtId="168" fontId="100" fillId="0" borderId="0" xfId="0" applyNumberFormat="1" applyFont="1" applyAlignment="1">
      <alignment horizontal="center"/>
    </xf>
    <xf numFmtId="168" fontId="100" fillId="0" borderId="43" xfId="0" applyNumberFormat="1" applyFont="1" applyBorder="1" applyAlignment="1">
      <alignment horizontal="center"/>
    </xf>
    <xf numFmtId="168" fontId="100" fillId="0" borderId="38" xfId="0" applyNumberFormat="1" applyFont="1" applyBorder="1" applyAlignment="1">
      <alignment horizontal="center"/>
    </xf>
    <xf numFmtId="168" fontId="100" fillId="0" borderId="8" xfId="0" applyNumberFormat="1" applyFont="1" applyBorder="1" applyAlignment="1">
      <alignment horizontal="center"/>
    </xf>
    <xf numFmtId="168" fontId="102" fillId="0" borderId="0" xfId="0" applyNumberFormat="1" applyFont="1" applyAlignment="1">
      <alignment horizontal="center"/>
    </xf>
    <xf numFmtId="168" fontId="102" fillId="0" borderId="10" xfId="0" applyNumberFormat="1" applyFont="1" applyBorder="1" applyAlignment="1">
      <alignment horizontal="center"/>
    </xf>
    <xf numFmtId="168" fontId="102" fillId="0" borderId="8" xfId="0" applyNumberFormat="1" applyFont="1" applyBorder="1" applyAlignment="1">
      <alignment horizontal="center"/>
    </xf>
    <xf numFmtId="168" fontId="100" fillId="0" borderId="4" xfId="0" applyNumberFormat="1" applyFont="1" applyBorder="1" applyAlignment="1">
      <alignment horizontal="center"/>
    </xf>
    <xf numFmtId="168" fontId="102" fillId="0" borderId="42" xfId="0" applyNumberFormat="1" applyFont="1" applyBorder="1" applyAlignment="1">
      <alignment horizontal="center"/>
    </xf>
    <xf numFmtId="165" fontId="100" fillId="0" borderId="42" xfId="0" applyNumberFormat="1" applyFont="1" applyBorder="1"/>
    <xf numFmtId="165" fontId="100" fillId="0" borderId="43" xfId="0" applyNumberFormat="1" applyFont="1" applyBorder="1"/>
    <xf numFmtId="165" fontId="100" fillId="0" borderId="43" xfId="0" applyNumberFormat="1" applyFont="1" applyBorder="1" applyAlignment="1">
      <alignment vertical="center"/>
    </xf>
    <xf numFmtId="4" fontId="100" fillId="0" borderId="42" xfId="0" applyNumberFormat="1" applyFont="1" applyBorder="1" applyAlignment="1">
      <alignment vertical="center"/>
    </xf>
    <xf numFmtId="165" fontId="100" fillId="0" borderId="42" xfId="0" applyNumberFormat="1" applyFont="1" applyBorder="1" applyAlignment="1">
      <alignment vertical="center"/>
    </xf>
    <xf numFmtId="165" fontId="100" fillId="0" borderId="38" xfId="0" applyNumberFormat="1" applyFont="1" applyBorder="1" applyAlignment="1">
      <alignment vertical="center"/>
    </xf>
    <xf numFmtId="165" fontId="100" fillId="0" borderId="10" xfId="0" applyNumberFormat="1" applyFont="1" applyBorder="1"/>
    <xf numFmtId="165" fontId="100" fillId="0" borderId="0" xfId="0" applyNumberFormat="1" applyFont="1"/>
    <xf numFmtId="165" fontId="100" fillId="0" borderId="0" xfId="0" applyNumberFormat="1" applyFont="1" applyAlignment="1">
      <alignment vertical="center"/>
    </xf>
    <xf numFmtId="4" fontId="100" fillId="0" borderId="10" xfId="0" applyNumberFormat="1" applyFont="1" applyBorder="1" applyAlignment="1">
      <alignment vertical="center"/>
    </xf>
    <xf numFmtId="165" fontId="100" fillId="0" borderId="10" xfId="0" applyNumberFormat="1" applyFont="1" applyBorder="1" applyAlignment="1">
      <alignment vertical="center"/>
    </xf>
    <xf numFmtId="165" fontId="100" fillId="0" borderId="8" xfId="0" applyNumberFormat="1" applyFont="1" applyBorder="1" applyAlignment="1">
      <alignment vertical="center"/>
    </xf>
    <xf numFmtId="165" fontId="100" fillId="0" borderId="6" xfId="0" applyNumberFormat="1" applyFont="1" applyBorder="1"/>
    <xf numFmtId="165" fontId="100" fillId="0" borderId="4" xfId="0" applyNumberFormat="1" applyFont="1" applyBorder="1"/>
    <xf numFmtId="165" fontId="100" fillId="0" borderId="4" xfId="0" applyNumberFormat="1" applyFont="1" applyBorder="1" applyAlignment="1">
      <alignment vertical="center"/>
    </xf>
    <xf numFmtId="4" fontId="100" fillId="0" borderId="6" xfId="0" applyNumberFormat="1" applyFont="1" applyBorder="1" applyAlignment="1">
      <alignment vertical="center"/>
    </xf>
    <xf numFmtId="165" fontId="100" fillId="0" borderId="6" xfId="0" applyNumberFormat="1" applyFont="1" applyBorder="1" applyAlignment="1">
      <alignment vertical="center"/>
    </xf>
    <xf numFmtId="165" fontId="100" fillId="0" borderId="9" xfId="0" applyNumberFormat="1" applyFont="1" applyBorder="1" applyAlignment="1">
      <alignment vertical="center"/>
    </xf>
    <xf numFmtId="165" fontId="48" fillId="0" borderId="0" xfId="0" applyNumberFormat="1" applyFont="1"/>
    <xf numFmtId="168" fontId="100" fillId="0" borderId="10" xfId="0" applyNumberFormat="1" applyFont="1" applyBorder="1" applyAlignment="1">
      <alignment horizontal="right"/>
    </xf>
    <xf numFmtId="168" fontId="100" fillId="0" borderId="0" xfId="0" applyNumberFormat="1" applyFont="1" applyAlignment="1">
      <alignment horizontal="right"/>
    </xf>
    <xf numFmtId="168" fontId="100" fillId="0" borderId="0" xfId="0" applyNumberFormat="1" applyFont="1" applyAlignment="1">
      <alignment horizontal="right" vertical="center"/>
    </xf>
    <xf numFmtId="168" fontId="100" fillId="0" borderId="10" xfId="0" applyNumberFormat="1" applyFont="1" applyBorder="1" applyAlignment="1">
      <alignment vertical="center"/>
    </xf>
    <xf numFmtId="168" fontId="100" fillId="0" borderId="0" xfId="0" applyNumberFormat="1" applyFont="1" applyAlignment="1">
      <alignment vertical="center"/>
    </xf>
    <xf numFmtId="165" fontId="103" fillId="0" borderId="10" xfId="0" applyNumberFormat="1" applyFont="1" applyBorder="1" applyAlignment="1">
      <alignment vertical="center"/>
    </xf>
    <xf numFmtId="165" fontId="101" fillId="0" borderId="10" xfId="0" applyNumberFormat="1" applyFont="1" applyBorder="1" applyAlignment="1">
      <alignment vertical="center"/>
    </xf>
    <xf numFmtId="165" fontId="102" fillId="0" borderId="0" xfId="0" applyNumberFormat="1" applyFont="1" applyAlignment="1">
      <alignment vertical="center"/>
    </xf>
    <xf numFmtId="165" fontId="102" fillId="0" borderId="10" xfId="0" applyNumberFormat="1" applyFont="1" applyBorder="1" applyAlignment="1">
      <alignment vertical="center"/>
    </xf>
    <xf numFmtId="0" fontId="104" fillId="0" borderId="0" xfId="0" applyFont="1" applyAlignment="1" applyProtection="1">
      <alignment horizontal="center" vertical="center"/>
      <protection locked="0"/>
    </xf>
    <xf numFmtId="176" fontId="97" fillId="56" borderId="1" xfId="0" applyNumberFormat="1" applyFont="1" applyFill="1" applyBorder="1" applyAlignment="1">
      <alignment horizontal="center" vertical="center"/>
    </xf>
    <xf numFmtId="15" fontId="97" fillId="56" borderId="1" xfId="0" applyNumberFormat="1" applyFont="1" applyFill="1" applyBorder="1" applyAlignment="1">
      <alignment horizontal="center" vertical="center"/>
    </xf>
    <xf numFmtId="15" fontId="97" fillId="56" borderId="3" xfId="0" applyNumberFormat="1" applyFont="1" applyFill="1" applyBorder="1" applyAlignment="1">
      <alignment horizontal="center" vertical="center"/>
    </xf>
    <xf numFmtId="0" fontId="100" fillId="0" borderId="42" xfId="0" applyFont="1" applyBorder="1"/>
    <xf numFmtId="0" fontId="100" fillId="0" borderId="10" xfId="0" applyFont="1" applyBorder="1"/>
    <xf numFmtId="0" fontId="100" fillId="0" borderId="8" xfId="0" applyFont="1" applyBorder="1"/>
    <xf numFmtId="0" fontId="100" fillId="0" borderId="6" xfId="0" applyFont="1" applyBorder="1"/>
    <xf numFmtId="0" fontId="104" fillId="0" borderId="2" xfId="0" applyFont="1" applyBorder="1" applyAlignment="1">
      <alignment horizontal="center"/>
    </xf>
    <xf numFmtId="0" fontId="48" fillId="0" borderId="13" xfId="0" applyFont="1" applyBorder="1" applyAlignment="1">
      <alignment horizontal="center"/>
    </xf>
    <xf numFmtId="170" fontId="100" fillId="0" borderId="1" xfId="0" applyNumberFormat="1" applyFont="1" applyBorder="1" applyAlignment="1">
      <alignment horizontal="right"/>
    </xf>
    <xf numFmtId="170" fontId="101" fillId="0" borderId="1" xfId="0" applyNumberFormat="1" applyFont="1" applyBorder="1" applyAlignment="1">
      <alignment horizontal="right"/>
    </xf>
    <xf numFmtId="0" fontId="96" fillId="58" borderId="2" xfId="0" applyFont="1" applyFill="1" applyBorder="1" applyAlignment="1">
      <alignment horizontal="center"/>
    </xf>
    <xf numFmtId="0" fontId="99" fillId="58" borderId="13" xfId="0" applyFont="1" applyFill="1" applyBorder="1" applyAlignment="1">
      <alignment horizontal="center"/>
    </xf>
    <xf numFmtId="4" fontId="101" fillId="0" borderId="1" xfId="0" applyNumberFormat="1" applyFont="1" applyBorder="1" applyAlignment="1">
      <alignment horizontal="center" vertical="center"/>
    </xf>
    <xf numFmtId="0" fontId="99" fillId="58" borderId="3" xfId="0" applyFont="1" applyFill="1" applyBorder="1" applyAlignment="1">
      <alignment horizontal="center"/>
    </xf>
    <xf numFmtId="0" fontId="96" fillId="58" borderId="2" xfId="0" applyFont="1" applyFill="1" applyBorder="1" applyAlignment="1">
      <alignment horizontal="center" vertical="center"/>
    </xf>
    <xf numFmtId="170" fontId="101" fillId="0" borderId="1" xfId="0" applyNumberFormat="1" applyFont="1" applyBorder="1" applyAlignment="1">
      <alignment horizontal="right" indent="1"/>
    </xf>
    <xf numFmtId="168" fontId="101" fillId="0" borderId="1" xfId="0" applyNumberFormat="1" applyFont="1" applyBorder="1"/>
    <xf numFmtId="4" fontId="101" fillId="0" borderId="1" xfId="0" applyNumberFormat="1" applyFont="1" applyBorder="1" applyAlignment="1">
      <alignment horizontal="right" indent="1"/>
    </xf>
    <xf numFmtId="4" fontId="106" fillId="0" borderId="1" xfId="0" applyNumberFormat="1" applyFont="1" applyBorder="1" applyAlignment="1">
      <alignment horizontal="right" indent="1"/>
    </xf>
    <xf numFmtId="167" fontId="109" fillId="0" borderId="42" xfId="0" applyNumberFormat="1" applyFont="1" applyBorder="1" applyAlignment="1">
      <alignment horizontal="center"/>
    </xf>
    <xf numFmtId="167" fontId="110" fillId="0" borderId="42" xfId="0" applyNumberFormat="1" applyFont="1" applyBorder="1" applyAlignment="1">
      <alignment horizontal="center"/>
    </xf>
    <xf numFmtId="167" fontId="109" fillId="0" borderId="42" xfId="0" applyNumberFormat="1" applyFont="1" applyBorder="1" applyAlignment="1">
      <alignment horizontal="center" vertical="center"/>
    </xf>
    <xf numFmtId="2" fontId="102" fillId="0" borderId="10" xfId="0" applyNumberFormat="1" applyFont="1" applyBorder="1" applyAlignment="1">
      <alignment horizontal="center"/>
    </xf>
    <xf numFmtId="2" fontId="102" fillId="0" borderId="6" xfId="0" applyNumberFormat="1" applyFont="1" applyBorder="1" applyAlignment="1">
      <alignment horizontal="center"/>
    </xf>
    <xf numFmtId="2" fontId="102" fillId="0" borderId="42" xfId="0" applyNumberFormat="1" applyFont="1" applyBorder="1" applyAlignment="1">
      <alignment horizontal="center"/>
    </xf>
    <xf numFmtId="40" fontId="100" fillId="0" borderId="8" xfId="0" applyNumberFormat="1" applyFont="1" applyBorder="1" applyAlignment="1">
      <alignment horizontal="right" vertical="center"/>
    </xf>
    <xf numFmtId="40" fontId="100" fillId="0" borderId="42" xfId="0" applyNumberFormat="1" applyFont="1" applyBorder="1" applyAlignment="1">
      <alignment horizontal="right" vertical="center"/>
    </xf>
    <xf numFmtId="40" fontId="100" fillId="0" borderId="10" xfId="0" applyNumberFormat="1" applyFont="1" applyBorder="1" applyAlignment="1">
      <alignment horizontal="right" vertical="center"/>
    </xf>
    <xf numFmtId="40" fontId="100" fillId="0" borderId="9" xfId="0" applyNumberFormat="1" applyFont="1" applyBorder="1" applyAlignment="1">
      <alignment horizontal="right" vertical="center"/>
    </xf>
    <xf numFmtId="40" fontId="100" fillId="0" borderId="6" xfId="0" applyNumberFormat="1" applyFont="1" applyBorder="1" applyAlignment="1">
      <alignment horizontal="right" vertical="center"/>
    </xf>
    <xf numFmtId="40" fontId="100" fillId="0" borderId="38" xfId="0" applyNumberFormat="1" applyFont="1" applyBorder="1" applyAlignment="1">
      <alignment horizontal="right" vertical="center"/>
    </xf>
    <xf numFmtId="40" fontId="100" fillId="0" borderId="43" xfId="0" applyNumberFormat="1" applyFont="1" applyBorder="1" applyAlignment="1">
      <alignment horizontal="right" vertical="center"/>
    </xf>
    <xf numFmtId="40" fontId="100" fillId="0" borderId="0" xfId="0" applyNumberFormat="1" applyFont="1" applyAlignment="1">
      <alignment horizontal="right" vertical="center"/>
    </xf>
    <xf numFmtId="40" fontId="100" fillId="0" borderId="4" xfId="0" applyNumberFormat="1" applyFont="1" applyBorder="1" applyAlignment="1">
      <alignment horizontal="right" vertical="center"/>
    </xf>
    <xf numFmtId="40" fontId="100" fillId="0" borderId="10" xfId="0" applyNumberFormat="1" applyFont="1" applyBorder="1"/>
    <xf numFmtId="40" fontId="100" fillId="0" borderId="7" xfId="0" applyNumberFormat="1" applyFont="1" applyBorder="1" applyAlignment="1">
      <alignment horizontal="right" vertical="center"/>
    </xf>
    <xf numFmtId="40" fontId="100" fillId="0" borderId="37" xfId="0" applyNumberFormat="1" applyFont="1" applyBorder="1" applyAlignment="1">
      <alignment horizontal="right" vertical="center"/>
    </xf>
    <xf numFmtId="4" fontId="102" fillId="0" borderId="42" xfId="0" applyNumberFormat="1" applyFont="1" applyBorder="1" applyAlignment="1">
      <alignment horizontal="right" vertical="center" indent="1"/>
    </xf>
    <xf numFmtId="2" fontId="102" fillId="0" borderId="10" xfId="0" applyNumberFormat="1" applyFont="1" applyBorder="1"/>
    <xf numFmtId="2" fontId="102" fillId="0" borderId="6" xfId="0" applyNumberFormat="1" applyFont="1" applyBorder="1"/>
    <xf numFmtId="167" fontId="109" fillId="0" borderId="4" xfId="0" applyNumberFormat="1" applyFont="1" applyBorder="1" applyAlignment="1">
      <alignment horizontal="center"/>
    </xf>
    <xf numFmtId="167" fontId="110" fillId="0" borderId="4" xfId="0" applyNumberFormat="1" applyFont="1" applyBorder="1" applyAlignment="1">
      <alignment horizontal="center"/>
    </xf>
    <xf numFmtId="167" fontId="110" fillId="0" borderId="9" xfId="0" applyNumberFormat="1" applyFont="1" applyBorder="1" applyAlignment="1">
      <alignment horizontal="center"/>
    </xf>
    <xf numFmtId="167" fontId="102" fillId="0" borderId="10" xfId="0" applyNumberFormat="1" applyFont="1" applyBorder="1" applyAlignment="1">
      <alignment horizontal="center" vertical="center"/>
    </xf>
    <xf numFmtId="0" fontId="95" fillId="0" borderId="0" xfId="0" applyFont="1" applyAlignment="1" applyProtection="1">
      <alignment horizontal="left"/>
      <protection locked="0"/>
    </xf>
    <xf numFmtId="0" fontId="92" fillId="0" borderId="0" xfId="0" applyFont="1" applyAlignment="1" applyProtection="1">
      <alignment horizontal="left"/>
      <protection locked="0"/>
    </xf>
    <xf numFmtId="0" fontId="108" fillId="55" borderId="1" xfId="0" applyFont="1" applyFill="1" applyBorder="1" applyAlignment="1">
      <alignment horizontal="center" vertical="center" wrapText="1"/>
    </xf>
    <xf numFmtId="0" fontId="108" fillId="55" borderId="2" xfId="0" applyFont="1" applyFill="1" applyBorder="1" applyAlignment="1">
      <alignment horizontal="center" vertical="center" wrapText="1"/>
    </xf>
    <xf numFmtId="0" fontId="108" fillId="55" borderId="13" xfId="0" applyFont="1" applyFill="1" applyBorder="1" applyAlignment="1">
      <alignment horizontal="center" vertical="center" wrapText="1"/>
    </xf>
    <xf numFmtId="0" fontId="108" fillId="55" borderId="3" xfId="0" applyFont="1" applyFill="1" applyBorder="1" applyAlignment="1">
      <alignment horizontal="center" vertical="center" wrapText="1"/>
    </xf>
    <xf numFmtId="0" fontId="96" fillId="58" borderId="1" xfId="0" applyFont="1" applyFill="1" applyBorder="1" applyAlignment="1">
      <alignment horizontal="center" vertical="center" wrapText="1"/>
    </xf>
    <xf numFmtId="0" fontId="48" fillId="0" borderId="1" xfId="0" applyFont="1" applyBorder="1" applyAlignment="1">
      <alignment horizontal="center"/>
    </xf>
    <xf numFmtId="0" fontId="97" fillId="56" borderId="37" xfId="0" applyFont="1" applyFill="1" applyBorder="1" applyAlignment="1">
      <alignment horizontal="center" vertical="center"/>
    </xf>
    <xf numFmtId="0" fontId="97" fillId="56" borderId="38" xfId="0" applyFont="1" applyFill="1" applyBorder="1" applyAlignment="1">
      <alignment horizontal="center" vertical="center"/>
    </xf>
    <xf numFmtId="0" fontId="97" fillId="56" borderId="5" xfId="0" applyFont="1" applyFill="1" applyBorder="1" applyAlignment="1">
      <alignment horizontal="center" vertical="center"/>
    </xf>
    <xf numFmtId="0" fontId="97" fillId="56" borderId="9" xfId="0" applyFont="1" applyFill="1" applyBorder="1" applyAlignment="1">
      <alignment horizontal="center" vertical="center"/>
    </xf>
    <xf numFmtId="0" fontId="97" fillId="56" borderId="42" xfId="0" applyFont="1" applyFill="1" applyBorder="1" applyAlignment="1">
      <alignment horizontal="center" vertical="center"/>
    </xf>
    <xf numFmtId="0" fontId="97" fillId="56" borderId="6" xfId="0" applyFont="1" applyFill="1" applyBorder="1" applyAlignment="1">
      <alignment horizontal="center" vertical="center"/>
    </xf>
    <xf numFmtId="0" fontId="97" fillId="56" borderId="2" xfId="0" applyFont="1" applyFill="1" applyBorder="1" applyAlignment="1">
      <alignment horizontal="center" vertical="center" wrapText="1"/>
    </xf>
    <xf numFmtId="0" fontId="97" fillId="56" borderId="13" xfId="0" applyFont="1" applyFill="1" applyBorder="1" applyAlignment="1">
      <alignment horizontal="center" vertical="center" wrapText="1"/>
    </xf>
    <xf numFmtId="0" fontId="97" fillId="56" borderId="3" xfId="0" applyFont="1" applyFill="1" applyBorder="1" applyAlignment="1">
      <alignment horizontal="center" vertical="center" wrapText="1"/>
    </xf>
    <xf numFmtId="0" fontId="73" fillId="0" borderId="0" xfId="0" applyFont="1" applyAlignment="1">
      <alignment horizontal="left"/>
    </xf>
    <xf numFmtId="0" fontId="50" fillId="0" borderId="0" xfId="0" applyFont="1" applyAlignment="1">
      <alignment horizontal="left" wrapText="1"/>
    </xf>
    <xf numFmtId="0" fontId="64" fillId="56" borderId="0" xfId="0" applyFont="1" applyFill="1" applyAlignment="1">
      <alignment horizontal="center" vertical="center"/>
    </xf>
    <xf numFmtId="0" fontId="55" fillId="56" borderId="0" xfId="0" applyFont="1" applyFill="1" applyAlignment="1">
      <alignment horizontal="center" vertical="center"/>
    </xf>
    <xf numFmtId="0" fontId="78" fillId="56" borderId="2" xfId="0" applyFont="1" applyFill="1" applyBorder="1" applyAlignment="1">
      <alignment horizontal="center" vertical="top" wrapText="1"/>
    </xf>
    <xf numFmtId="0" fontId="78" fillId="56" borderId="3" xfId="0" applyFont="1" applyFill="1" applyBorder="1" applyAlignment="1">
      <alignment horizontal="center" vertical="top" wrapText="1"/>
    </xf>
    <xf numFmtId="0" fontId="97" fillId="56" borderId="0" xfId="0" applyFont="1" applyFill="1" applyAlignment="1">
      <alignment horizontal="center" vertical="center" wrapText="1"/>
    </xf>
    <xf numFmtId="0" fontId="98" fillId="0" borderId="0" xfId="0" applyFont="1" applyAlignment="1" applyProtection="1">
      <alignment horizontal="right"/>
      <protection locked="0"/>
    </xf>
    <xf numFmtId="0" fontId="97" fillId="56" borderId="0" xfId="0" applyFont="1" applyFill="1" applyAlignment="1">
      <alignment horizontal="left" vertical="center" wrapText="1"/>
    </xf>
    <xf numFmtId="0" fontId="6" fillId="0" borderId="0" xfId="0" applyFont="1" applyAlignment="1">
      <alignment horizontal="right"/>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left"/>
    </xf>
    <xf numFmtId="0" fontId="5" fillId="0" borderId="38" xfId="0" applyFont="1" applyBorder="1" applyAlignment="1">
      <alignment horizontal="left"/>
    </xf>
    <xf numFmtId="0" fontId="5" fillId="0" borderId="1" xfId="0" applyFont="1" applyBorder="1" applyAlignment="1">
      <alignment horizontal="center" vertical="center" textRotation="180" wrapText="1"/>
    </xf>
    <xf numFmtId="0" fontId="5" fillId="0" borderId="42" xfId="0" applyFont="1" applyBorder="1" applyAlignment="1">
      <alignment horizontal="center" vertical="center" textRotation="180" wrapText="1"/>
    </xf>
    <xf numFmtId="0" fontId="6" fillId="0" borderId="0" xfId="0" applyFont="1" applyAlignment="1">
      <alignment horizontal="right" vertical="center"/>
    </xf>
    <xf numFmtId="0" fontId="5" fillId="0" borderId="37" xfId="0" applyFont="1" applyBorder="1" applyAlignment="1">
      <alignment horizontal="left"/>
    </xf>
    <xf numFmtId="0" fontId="5" fillId="0" borderId="1" xfId="0" applyFont="1" applyBorder="1" applyAlignment="1">
      <alignment horizontal="center" vertical="center" textRotation="180"/>
    </xf>
    <xf numFmtId="0" fontId="5" fillId="0" borderId="42" xfId="0" applyFont="1" applyBorder="1" applyAlignment="1">
      <alignment horizontal="center" vertical="center" textRotation="180"/>
    </xf>
    <xf numFmtId="0" fontId="5" fillId="0" borderId="10" xfId="0" applyFont="1" applyBorder="1" applyAlignment="1">
      <alignment horizontal="center" vertical="center" textRotation="180" wrapText="1"/>
    </xf>
    <xf numFmtId="0" fontId="5" fillId="0" borderId="6" xfId="0" applyFont="1" applyBorder="1" applyAlignment="1">
      <alignment horizontal="center" vertical="center" textRotation="180" wrapText="1"/>
    </xf>
    <xf numFmtId="0" fontId="97" fillId="56" borderId="10" xfId="0" applyFont="1" applyFill="1" applyBorder="1" applyAlignment="1">
      <alignment horizontal="center" vertical="center"/>
    </xf>
    <xf numFmtId="0" fontId="97" fillId="56" borderId="7" xfId="0" applyFont="1" applyFill="1" applyBorder="1" applyAlignment="1">
      <alignment horizontal="center" vertical="center"/>
    </xf>
    <xf numFmtId="0" fontId="97" fillId="56" borderId="8" xfId="0" applyFont="1" applyFill="1" applyBorder="1" applyAlignment="1">
      <alignment horizontal="center" vertical="center"/>
    </xf>
    <xf numFmtId="0" fontId="97" fillId="56" borderId="42" xfId="0" applyFont="1" applyFill="1" applyBorder="1" applyAlignment="1">
      <alignment horizontal="center" vertical="center" wrapText="1"/>
    </xf>
    <xf numFmtId="0" fontId="97" fillId="56" borderId="10" xfId="0" applyFont="1" applyFill="1" applyBorder="1" applyAlignment="1">
      <alignment horizontal="center" vertical="center" wrapText="1"/>
    </xf>
    <xf numFmtId="0" fontId="97" fillId="56" borderId="6" xfId="0" applyFont="1" applyFill="1" applyBorder="1" applyAlignment="1">
      <alignment horizontal="center" vertical="center" wrapText="1"/>
    </xf>
    <xf numFmtId="0" fontId="97" fillId="56" borderId="37" xfId="0" applyFont="1" applyFill="1" applyBorder="1" applyAlignment="1">
      <alignment horizontal="right" vertical="center"/>
    </xf>
    <xf numFmtId="0" fontId="97" fillId="56" borderId="43" xfId="0" applyFont="1" applyFill="1" applyBorder="1" applyAlignment="1">
      <alignment horizontal="right" vertical="center"/>
    </xf>
    <xf numFmtId="0" fontId="97" fillId="56" borderId="38" xfId="0" applyFont="1" applyFill="1" applyBorder="1" applyAlignment="1">
      <alignment horizontal="right" vertical="center"/>
    </xf>
    <xf numFmtId="0" fontId="97" fillId="56" borderId="1" xfId="0" applyFont="1" applyFill="1" applyBorder="1" applyAlignment="1">
      <alignment horizontal="center" vertical="center" wrapText="1"/>
    </xf>
    <xf numFmtId="0" fontId="98" fillId="0" borderId="0" xfId="0" applyFont="1" applyAlignment="1" applyProtection="1">
      <alignment horizontal="right" vertical="center"/>
      <protection locked="0"/>
    </xf>
    <xf numFmtId="0" fontId="97" fillId="56" borderId="1" xfId="0" applyFont="1" applyFill="1" applyBorder="1" applyAlignment="1">
      <alignment horizontal="center" vertical="center"/>
    </xf>
    <xf numFmtId="0" fontId="97" fillId="56" borderId="39" xfId="0" applyFont="1" applyFill="1" applyBorder="1" applyAlignment="1">
      <alignment horizontal="left" vertical="center"/>
    </xf>
    <xf numFmtId="0" fontId="97" fillId="56" borderId="40" xfId="0" applyFont="1" applyFill="1" applyBorder="1" applyAlignment="1">
      <alignment horizontal="left" vertical="center"/>
    </xf>
    <xf numFmtId="0" fontId="97" fillId="56" borderId="41" xfId="0" applyFont="1" applyFill="1" applyBorder="1" applyAlignment="1">
      <alignment horizontal="left" vertical="center"/>
    </xf>
    <xf numFmtId="4" fontId="97" fillId="56" borderId="37" xfId="0" applyNumberFormat="1" applyFont="1" applyFill="1" applyBorder="1" applyAlignment="1">
      <alignment horizontal="center" vertical="center"/>
    </xf>
    <xf numFmtId="4" fontId="97" fillId="56" borderId="43" xfId="0" applyNumberFormat="1" applyFont="1" applyFill="1" applyBorder="1" applyAlignment="1">
      <alignment horizontal="center" vertical="center"/>
    </xf>
    <xf numFmtId="4" fontId="97" fillId="56" borderId="38" xfId="0" applyNumberFormat="1" applyFont="1" applyFill="1" applyBorder="1" applyAlignment="1">
      <alignment horizontal="center" vertical="center"/>
    </xf>
    <xf numFmtId="0" fontId="98" fillId="0" borderId="4" xfId="0" applyFont="1" applyBorder="1" applyAlignment="1" applyProtection="1">
      <alignment horizontal="right" vertical="center"/>
      <protection locked="0"/>
    </xf>
    <xf numFmtId="0" fontId="97" fillId="56" borderId="37" xfId="0" applyFont="1" applyFill="1" applyBorder="1" applyAlignment="1">
      <alignment horizontal="center" vertical="center" wrapText="1"/>
    </xf>
    <xf numFmtId="0" fontId="97" fillId="56" borderId="5" xfId="0" applyFont="1" applyFill="1" applyBorder="1" applyAlignment="1">
      <alignment horizontal="center" vertical="center" wrapText="1"/>
    </xf>
    <xf numFmtId="0" fontId="97" fillId="56" borderId="37" xfId="0" applyFont="1" applyFill="1" applyBorder="1" applyAlignment="1">
      <alignment horizontal="left" vertical="center" wrapText="1"/>
    </xf>
    <xf numFmtId="0" fontId="97" fillId="56" borderId="43" xfId="0" applyFont="1" applyFill="1" applyBorder="1" applyAlignment="1">
      <alignment horizontal="left" vertical="center" wrapText="1"/>
    </xf>
    <xf numFmtId="0" fontId="97" fillId="56" borderId="38" xfId="0" applyFont="1" applyFill="1" applyBorder="1" applyAlignment="1">
      <alignment horizontal="left" vertical="center" wrapText="1"/>
    </xf>
    <xf numFmtId="0" fontId="97" fillId="56" borderId="42" xfId="0" applyFont="1" applyFill="1" applyBorder="1" applyAlignment="1">
      <alignment horizontal="left" vertical="center"/>
    </xf>
    <xf numFmtId="0" fontId="97" fillId="56" borderId="1" xfId="0" applyFont="1" applyFill="1" applyBorder="1" applyAlignment="1">
      <alignment horizontal="left" vertical="center"/>
    </xf>
    <xf numFmtId="0" fontId="97" fillId="56" borderId="37" xfId="0" applyFont="1" applyFill="1" applyBorder="1" applyAlignment="1">
      <alignment horizontal="left" vertical="center"/>
    </xf>
    <xf numFmtId="0" fontId="97" fillId="56" borderId="43" xfId="0" applyFont="1" applyFill="1" applyBorder="1" applyAlignment="1">
      <alignment horizontal="left" vertical="center"/>
    </xf>
    <xf numFmtId="0" fontId="97" fillId="56" borderId="38" xfId="0" applyFont="1" applyFill="1" applyBorder="1" applyAlignment="1">
      <alignment horizontal="left" vertical="center"/>
    </xf>
    <xf numFmtId="0" fontId="97" fillId="56" borderId="1" xfId="0" applyFont="1" applyFill="1" applyBorder="1" applyAlignment="1">
      <alignment horizontal="center" vertical="center" textRotation="180" wrapText="1"/>
    </xf>
    <xf numFmtId="0" fontId="97" fillId="56" borderId="1" xfId="0" applyFont="1" applyFill="1" applyBorder="1" applyAlignment="1">
      <alignment horizontal="center" vertical="center" textRotation="180"/>
    </xf>
    <xf numFmtId="0" fontId="97" fillId="56" borderId="2" xfId="0" applyFont="1" applyFill="1" applyBorder="1" applyAlignment="1">
      <alignment horizontal="center" vertical="center" textRotation="180"/>
    </xf>
    <xf numFmtId="0" fontId="97" fillId="56" borderId="10" xfId="0" applyFont="1" applyFill="1" applyBorder="1" applyAlignment="1">
      <alignment horizontal="center" vertical="center" textRotation="180" wrapText="1"/>
    </xf>
    <xf numFmtId="0" fontId="97" fillId="56" borderId="7" xfId="0" applyFont="1" applyFill="1" applyBorder="1" applyAlignment="1">
      <alignment horizontal="center" vertical="center" textRotation="180" wrapText="1"/>
    </xf>
    <xf numFmtId="0" fontId="97" fillId="56" borderId="5" xfId="0" applyFont="1" applyFill="1" applyBorder="1" applyAlignment="1">
      <alignment horizontal="center" vertical="center" textRotation="180" wrapText="1"/>
    </xf>
    <xf numFmtId="0" fontId="49" fillId="0" borderId="0" xfId="0" applyFont="1" applyAlignment="1" applyProtection="1">
      <alignment horizontal="right" vertical="center"/>
      <protection locked="0"/>
    </xf>
    <xf numFmtId="0" fontId="97" fillId="56" borderId="42" xfId="0" applyFont="1" applyFill="1" applyBorder="1" applyAlignment="1">
      <alignment horizontal="left" vertical="center" wrapText="1"/>
    </xf>
    <xf numFmtId="0" fontId="97" fillId="56" borderId="1" xfId="0" applyFont="1" applyFill="1" applyBorder="1" applyAlignment="1">
      <alignment horizontal="left" vertical="center" wrapText="1"/>
    </xf>
    <xf numFmtId="0" fontId="97" fillId="56" borderId="6" xfId="0" applyFont="1" applyFill="1" applyBorder="1" applyAlignment="1">
      <alignment horizontal="center" vertical="center" textRotation="180" wrapText="1"/>
    </xf>
    <xf numFmtId="0" fontId="97" fillId="56" borderId="3" xfId="0" applyFont="1" applyFill="1" applyBorder="1" applyAlignment="1">
      <alignment horizontal="center" vertical="center" textRotation="180" wrapText="1"/>
    </xf>
    <xf numFmtId="0" fontId="73" fillId="0" borderId="0" xfId="0" applyFont="1" applyAlignment="1" applyProtection="1">
      <alignment horizontal="left" vertical="center" wrapText="1"/>
      <protection locked="0"/>
    </xf>
    <xf numFmtId="0" fontId="69" fillId="0" borderId="0" xfId="0" applyFont="1" applyAlignment="1" applyProtection="1">
      <alignment horizontal="left"/>
      <protection locked="0"/>
    </xf>
    <xf numFmtId="0" fontId="97" fillId="56" borderId="37" xfId="0" applyFont="1" applyFill="1" applyBorder="1" applyAlignment="1">
      <alignment horizontal="center" vertical="center" textRotation="180" wrapText="1"/>
    </xf>
    <xf numFmtId="0" fontId="97" fillId="56" borderId="38" xfId="0" applyFont="1" applyFill="1" applyBorder="1" applyAlignment="1">
      <alignment horizontal="center" vertical="center" textRotation="180" wrapText="1"/>
    </xf>
    <xf numFmtId="0" fontId="97" fillId="56" borderId="9" xfId="0" applyFont="1" applyFill="1" applyBorder="1" applyAlignment="1">
      <alignment horizontal="center" vertical="center" textRotation="180" wrapText="1"/>
    </xf>
    <xf numFmtId="0" fontId="97" fillId="56" borderId="15" xfId="0" applyFont="1" applyFill="1" applyBorder="1" applyAlignment="1">
      <alignment horizontal="center" vertical="center"/>
    </xf>
    <xf numFmtId="0" fontId="97" fillId="56" borderId="16" xfId="0" applyFont="1" applyFill="1" applyBorder="1" applyAlignment="1">
      <alignment horizontal="center" vertical="center"/>
    </xf>
    <xf numFmtId="0" fontId="97" fillId="56" borderId="17" xfId="0" applyFont="1" applyFill="1" applyBorder="1" applyAlignment="1">
      <alignment horizontal="center" vertical="center"/>
    </xf>
    <xf numFmtId="0" fontId="97" fillId="56" borderId="11" xfId="0" applyFont="1" applyFill="1" applyBorder="1" applyAlignment="1">
      <alignment horizontal="left" vertical="center" wrapText="1"/>
    </xf>
    <xf numFmtId="0" fontId="97" fillId="56" borderId="14" xfId="0" applyFont="1" applyFill="1" applyBorder="1" applyAlignment="1">
      <alignment horizontal="left" vertical="center" wrapText="1"/>
    </xf>
    <xf numFmtId="0" fontId="97" fillId="56" borderId="12" xfId="0" applyFont="1" applyFill="1" applyBorder="1" applyAlignment="1">
      <alignment horizontal="left" vertical="center" wrapText="1"/>
    </xf>
    <xf numFmtId="0" fontId="97" fillId="56" borderId="11" xfId="0" applyFont="1" applyFill="1" applyBorder="1" applyAlignment="1">
      <alignment horizontal="center" vertical="center"/>
    </xf>
    <xf numFmtId="0" fontId="97" fillId="56" borderId="14" xfId="0" applyFont="1" applyFill="1" applyBorder="1" applyAlignment="1">
      <alignment horizontal="center" vertical="center"/>
    </xf>
    <xf numFmtId="0" fontId="97" fillId="56" borderId="12" xfId="0" applyFont="1" applyFill="1" applyBorder="1" applyAlignment="1">
      <alignment horizontal="center" vertical="center"/>
    </xf>
    <xf numFmtId="0" fontId="97" fillId="56" borderId="37" xfId="0" applyFont="1" applyFill="1" applyBorder="1" applyAlignment="1" applyProtection="1">
      <alignment horizontal="center" vertical="center"/>
      <protection locked="0"/>
    </xf>
    <xf numFmtId="0" fontId="97" fillId="56" borderId="38" xfId="0" applyFont="1" applyFill="1" applyBorder="1" applyAlignment="1" applyProtection="1">
      <alignment horizontal="center" vertical="center"/>
      <protection locked="0"/>
    </xf>
    <xf numFmtId="0" fontId="97" fillId="56" borderId="5" xfId="0" applyFont="1" applyFill="1" applyBorder="1" applyAlignment="1" applyProtection="1">
      <alignment horizontal="center" vertical="center"/>
      <protection locked="0"/>
    </xf>
    <xf numFmtId="0" fontId="97" fillId="56" borderId="9" xfId="0" applyFont="1" applyFill="1" applyBorder="1" applyAlignment="1" applyProtection="1">
      <alignment horizontal="center" vertical="center"/>
      <protection locked="0"/>
    </xf>
    <xf numFmtId="0" fontId="97" fillId="56" borderId="39" xfId="0" applyFont="1" applyFill="1" applyBorder="1" applyAlignment="1" applyProtection="1">
      <alignment horizontal="left" vertical="center" wrapText="1"/>
      <protection locked="0"/>
    </xf>
    <xf numFmtId="0" fontId="97" fillId="56" borderId="40" xfId="0" applyFont="1" applyFill="1" applyBorder="1" applyAlignment="1" applyProtection="1">
      <alignment horizontal="left" vertical="center" wrapText="1"/>
      <protection locked="0"/>
    </xf>
    <xf numFmtId="0" fontId="97" fillId="56" borderId="41" xfId="0" applyFont="1" applyFill="1" applyBorder="1" applyAlignment="1" applyProtection="1">
      <alignment horizontal="left" vertical="center" wrapText="1"/>
      <protection locked="0"/>
    </xf>
    <xf numFmtId="0" fontId="97" fillId="56" borderId="44" xfId="0" applyFont="1" applyFill="1" applyBorder="1" applyAlignment="1" applyProtection="1">
      <alignment horizontal="left" vertical="center" wrapText="1"/>
      <protection locked="0"/>
    </xf>
    <xf numFmtId="0" fontId="73" fillId="0" borderId="0" xfId="0" applyFont="1" applyAlignment="1" applyProtection="1">
      <alignment horizontal="left" wrapText="1"/>
      <protection locked="0"/>
    </xf>
    <xf numFmtId="0" fontId="50" fillId="0" borderId="0" xfId="0" applyFont="1" applyAlignment="1" applyProtection="1">
      <alignment horizontal="left"/>
      <protection locked="0"/>
    </xf>
    <xf numFmtId="0" fontId="97" fillId="56" borderId="7" xfId="0" applyFont="1" applyFill="1" applyBorder="1" applyAlignment="1" applyProtection="1">
      <alignment horizontal="center" vertical="center"/>
      <protection locked="0"/>
    </xf>
    <xf numFmtId="0" fontId="97" fillId="56" borderId="8" xfId="0" applyFont="1" applyFill="1" applyBorder="1" applyAlignment="1" applyProtection="1">
      <alignment horizontal="center" vertical="center"/>
      <protection locked="0"/>
    </xf>
    <xf numFmtId="0" fontId="97" fillId="56" borderId="37" xfId="0" applyFont="1" applyFill="1" applyBorder="1" applyAlignment="1" applyProtection="1">
      <alignment horizontal="left" vertical="center" wrapText="1"/>
      <protection locked="0"/>
    </xf>
    <xf numFmtId="0" fontId="97" fillId="56" borderId="43" xfId="0" applyFont="1" applyFill="1" applyBorder="1" applyAlignment="1" applyProtection="1">
      <alignment horizontal="left" vertical="center" wrapText="1"/>
      <protection locked="0"/>
    </xf>
    <xf numFmtId="0" fontId="97" fillId="56" borderId="38" xfId="0" applyFont="1" applyFill="1" applyBorder="1" applyAlignment="1" applyProtection="1">
      <alignment horizontal="left" vertical="center" wrapText="1"/>
      <protection locked="0"/>
    </xf>
    <xf numFmtId="0" fontId="97" fillId="56" borderId="13" xfId="0" applyFont="1" applyFill="1" applyBorder="1" applyAlignment="1" applyProtection="1">
      <alignment horizontal="left" vertical="center" wrapText="1"/>
      <protection locked="0"/>
    </xf>
    <xf numFmtId="0" fontId="97" fillId="56" borderId="3" xfId="0" applyFont="1" applyFill="1" applyBorder="1" applyAlignment="1" applyProtection="1">
      <alignment horizontal="left" vertical="center" wrapText="1"/>
      <protection locked="0"/>
    </xf>
    <xf numFmtId="0" fontId="97" fillId="56" borderId="42" xfId="0" applyFont="1" applyFill="1" applyBorder="1" applyAlignment="1" applyProtection="1">
      <alignment horizontal="left" vertical="center" wrapText="1"/>
      <protection locked="0"/>
    </xf>
    <xf numFmtId="0" fontId="97" fillId="56" borderId="1" xfId="0" applyFont="1" applyFill="1" applyBorder="1" applyAlignment="1" applyProtection="1">
      <alignment horizontal="left" vertical="center" wrapText="1"/>
      <protection locked="0"/>
    </xf>
    <xf numFmtId="0" fontId="104" fillId="0" borderId="4" xfId="0" applyFont="1" applyBorder="1" applyAlignment="1">
      <alignment horizontal="left"/>
    </xf>
    <xf numFmtId="0" fontId="97" fillId="56" borderId="2" xfId="0" applyFont="1" applyFill="1" applyBorder="1" applyAlignment="1">
      <alignment horizontal="left" vertical="center" wrapText="1"/>
    </xf>
    <xf numFmtId="0" fontId="97" fillId="56" borderId="13" xfId="0" applyFont="1" applyFill="1" applyBorder="1" applyAlignment="1">
      <alignment horizontal="left" vertical="center" wrapText="1"/>
    </xf>
    <xf numFmtId="0" fontId="97" fillId="56" borderId="3" xfId="0" applyFont="1" applyFill="1" applyBorder="1" applyAlignment="1">
      <alignment horizontal="left" vertical="center" wrapText="1"/>
    </xf>
    <xf numFmtId="0" fontId="104" fillId="0" borderId="4" xfId="0" applyFont="1" applyBorder="1" applyAlignment="1" applyProtection="1">
      <alignment horizontal="left"/>
      <protection locked="0"/>
    </xf>
    <xf numFmtId="0" fontId="97" fillId="56" borderId="2" xfId="0" applyFont="1" applyFill="1" applyBorder="1" applyAlignment="1" applyProtection="1">
      <alignment horizontal="left" vertical="center" wrapText="1"/>
      <protection locked="0"/>
    </xf>
    <xf numFmtId="0" fontId="97" fillId="56" borderId="42" xfId="0" applyFont="1" applyFill="1" applyBorder="1" applyAlignment="1" applyProtection="1">
      <alignment horizontal="center" vertical="center"/>
      <protection locked="0"/>
    </xf>
    <xf numFmtId="0" fontId="97" fillId="56" borderId="6" xfId="0" applyFont="1" applyFill="1" applyBorder="1" applyAlignment="1" applyProtection="1">
      <alignment horizontal="center" vertical="center"/>
      <protection locked="0"/>
    </xf>
    <xf numFmtId="0" fontId="82" fillId="0" borderId="0" xfId="0" applyFont="1" applyAlignment="1" applyProtection="1">
      <alignment horizontal="left"/>
      <protection locked="0"/>
    </xf>
    <xf numFmtId="0" fontId="84" fillId="0" borderId="0" xfId="0" applyFont="1" applyAlignment="1" applyProtection="1">
      <alignment horizontal="left"/>
      <protection locked="0"/>
    </xf>
    <xf numFmtId="0" fontId="114" fillId="56" borderId="37" xfId="0" applyFont="1" applyFill="1" applyBorder="1" applyAlignment="1">
      <alignment horizontal="center" vertical="center"/>
    </xf>
    <xf numFmtId="0" fontId="114" fillId="56" borderId="38" xfId="0" applyFont="1" applyFill="1" applyBorder="1" applyAlignment="1">
      <alignment horizontal="center" vertical="center"/>
    </xf>
    <xf numFmtId="0" fontId="114" fillId="56" borderId="7" xfId="0" applyFont="1" applyFill="1" applyBorder="1" applyAlignment="1">
      <alignment horizontal="center" vertical="center"/>
    </xf>
    <xf numFmtId="0" fontId="114" fillId="56" borderId="8" xfId="0" applyFont="1" applyFill="1" applyBorder="1" applyAlignment="1">
      <alignment horizontal="center" vertical="center"/>
    </xf>
    <xf numFmtId="0" fontId="114" fillId="56" borderId="2" xfId="0" applyFont="1" applyFill="1" applyBorder="1" applyAlignment="1">
      <alignment horizontal="left" vertical="center" wrapText="1"/>
    </xf>
    <xf numFmtId="0" fontId="114" fillId="56" borderId="13" xfId="0" applyFont="1" applyFill="1" applyBorder="1" applyAlignment="1">
      <alignment horizontal="left" vertical="center" wrapText="1"/>
    </xf>
    <xf numFmtId="0" fontId="114" fillId="56" borderId="3" xfId="0" applyFont="1" applyFill="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93" fillId="0" borderId="0" xfId="0" applyFont="1" applyAlignment="1" applyProtection="1">
      <alignment horizontal="left"/>
      <protection locked="0"/>
    </xf>
    <xf numFmtId="0" fontId="97" fillId="60" borderId="1" xfId="0" applyFont="1" applyFill="1" applyBorder="1" applyAlignment="1">
      <alignment horizontal="center" vertical="center" wrapText="1"/>
    </xf>
    <xf numFmtId="0" fontId="115" fillId="0" borderId="0" xfId="0" applyFont="1" applyAlignment="1" applyProtection="1">
      <alignment horizontal="left" vertical="center" wrapText="1"/>
      <protection locked="0"/>
    </xf>
    <xf numFmtId="0" fontId="6" fillId="0" borderId="4" xfId="0" applyFont="1" applyBorder="1" applyAlignment="1">
      <alignment horizontal="right" vertical="center"/>
    </xf>
    <xf numFmtId="0" fontId="5" fillId="0" borderId="2" xfId="0" applyFont="1" applyBorder="1" applyAlignment="1">
      <alignment horizontal="center" vertical="center"/>
    </xf>
    <xf numFmtId="0" fontId="5" fillId="0" borderId="37" xfId="0" applyFont="1" applyBorder="1" applyAlignment="1">
      <alignment horizontal="left" vertical="center" wrapText="1"/>
    </xf>
    <xf numFmtId="0" fontId="5" fillId="0" borderId="43" xfId="0" applyFont="1" applyBorder="1" applyAlignment="1">
      <alignment horizontal="left" vertical="center" wrapText="1"/>
    </xf>
    <xf numFmtId="0" fontId="5" fillId="0" borderId="38" xfId="0" applyFont="1" applyBorder="1" applyAlignment="1">
      <alignment horizontal="left" vertical="center" wrapText="1"/>
    </xf>
  </cellXfs>
  <cellStyles count="435">
    <cellStyle name=" 1" xfId="193" xr:uid="{00000000-0005-0000-0000-000000000000}"/>
    <cellStyle name=" 1 2" xfId="194" xr:uid="{00000000-0005-0000-0000-000001000000}"/>
    <cellStyle name="=C:\WINNT\SYSTEM32\COMMAND.COM" xfId="195" xr:uid="{00000000-0005-0000-0000-000002000000}"/>
    <cellStyle name="=C:\WINNT\SYSTEM32\COMMAND.COM 2" xfId="376" xr:uid="{00000000-0005-0000-0000-000003000000}"/>
    <cellStyle name="=C:\WINNT\SYSTEM32\COMMAND.COM 3" xfId="372" xr:uid="{00000000-0005-0000-0000-000004000000}"/>
    <cellStyle name="20% - Accent1 2" xfId="31" xr:uid="{00000000-0005-0000-0000-000005000000}"/>
    <cellStyle name="20% - Accent1 3" xfId="196" xr:uid="{00000000-0005-0000-0000-000006000000}"/>
    <cellStyle name="20% - Accent1 4" xfId="197" xr:uid="{00000000-0005-0000-0000-000007000000}"/>
    <cellStyle name="20% - Accent1 5" xfId="377" xr:uid="{00000000-0005-0000-0000-000008000000}"/>
    <cellStyle name="20% - Accent2 2" xfId="32" xr:uid="{00000000-0005-0000-0000-000009000000}"/>
    <cellStyle name="20% - Accent2 3" xfId="198" xr:uid="{00000000-0005-0000-0000-00000A000000}"/>
    <cellStyle name="20% - Accent2 4" xfId="199" xr:uid="{00000000-0005-0000-0000-00000B000000}"/>
    <cellStyle name="20% - Accent2 5" xfId="378" xr:uid="{00000000-0005-0000-0000-00000C000000}"/>
    <cellStyle name="20% - Accent3 2" xfId="33" xr:uid="{00000000-0005-0000-0000-00000D000000}"/>
    <cellStyle name="20% - Accent3 3" xfId="200" xr:uid="{00000000-0005-0000-0000-00000E000000}"/>
    <cellStyle name="20% - Accent3 4" xfId="201" xr:uid="{00000000-0005-0000-0000-00000F000000}"/>
    <cellStyle name="20% - Accent3 5" xfId="379" xr:uid="{00000000-0005-0000-0000-000010000000}"/>
    <cellStyle name="20% - Accent4 2" xfId="34" xr:uid="{00000000-0005-0000-0000-000011000000}"/>
    <cellStyle name="20% - Accent4 3" xfId="202" xr:uid="{00000000-0005-0000-0000-000012000000}"/>
    <cellStyle name="20% - Accent4 4" xfId="203" xr:uid="{00000000-0005-0000-0000-000013000000}"/>
    <cellStyle name="20% - Accent4 5" xfId="380" xr:uid="{00000000-0005-0000-0000-000014000000}"/>
    <cellStyle name="20% - Accent5 2" xfId="35" xr:uid="{00000000-0005-0000-0000-000015000000}"/>
    <cellStyle name="20% - Accent5 3" xfId="204" xr:uid="{00000000-0005-0000-0000-000016000000}"/>
    <cellStyle name="20% - Accent5 4" xfId="205" xr:uid="{00000000-0005-0000-0000-000017000000}"/>
    <cellStyle name="20% - Accent5 5" xfId="381" xr:uid="{00000000-0005-0000-0000-000018000000}"/>
    <cellStyle name="20% - Accent6 2" xfId="36" xr:uid="{00000000-0005-0000-0000-000019000000}"/>
    <cellStyle name="20% - Accent6 3" xfId="206" xr:uid="{00000000-0005-0000-0000-00001A000000}"/>
    <cellStyle name="20% - Accent6 4" xfId="207" xr:uid="{00000000-0005-0000-0000-00001B000000}"/>
    <cellStyle name="20% - Accent6 5" xfId="382" xr:uid="{00000000-0005-0000-0000-00001C000000}"/>
    <cellStyle name="40% - Accent1 2" xfId="37" xr:uid="{00000000-0005-0000-0000-00001D000000}"/>
    <cellStyle name="40% - Accent1 3" xfId="208" xr:uid="{00000000-0005-0000-0000-00001E000000}"/>
    <cellStyle name="40% - Accent1 4" xfId="209" xr:uid="{00000000-0005-0000-0000-00001F000000}"/>
    <cellStyle name="40% - Accent1 5" xfId="383" xr:uid="{00000000-0005-0000-0000-000020000000}"/>
    <cellStyle name="40% - Accent2 2" xfId="38" xr:uid="{00000000-0005-0000-0000-000021000000}"/>
    <cellStyle name="40% - Accent2 3" xfId="210" xr:uid="{00000000-0005-0000-0000-000022000000}"/>
    <cellStyle name="40% - Accent2 4" xfId="211" xr:uid="{00000000-0005-0000-0000-000023000000}"/>
    <cellStyle name="40% - Accent2 5" xfId="384" xr:uid="{00000000-0005-0000-0000-000024000000}"/>
    <cellStyle name="40% - Accent3 2" xfId="39" xr:uid="{00000000-0005-0000-0000-000025000000}"/>
    <cellStyle name="40% - Accent3 3" xfId="212" xr:uid="{00000000-0005-0000-0000-000026000000}"/>
    <cellStyle name="40% - Accent3 4" xfId="213" xr:uid="{00000000-0005-0000-0000-000027000000}"/>
    <cellStyle name="40% - Accent3 5" xfId="385" xr:uid="{00000000-0005-0000-0000-000028000000}"/>
    <cellStyle name="40% - Accent4 2" xfId="40" xr:uid="{00000000-0005-0000-0000-000029000000}"/>
    <cellStyle name="40% - Accent4 3" xfId="214" xr:uid="{00000000-0005-0000-0000-00002A000000}"/>
    <cellStyle name="40% - Accent4 4" xfId="215" xr:uid="{00000000-0005-0000-0000-00002B000000}"/>
    <cellStyle name="40% - Accent4 5" xfId="386" xr:uid="{00000000-0005-0000-0000-00002C000000}"/>
    <cellStyle name="40% - Accent5 2" xfId="41" xr:uid="{00000000-0005-0000-0000-00002D000000}"/>
    <cellStyle name="40% - Accent5 3" xfId="216" xr:uid="{00000000-0005-0000-0000-00002E000000}"/>
    <cellStyle name="40% - Accent5 4" xfId="217" xr:uid="{00000000-0005-0000-0000-00002F000000}"/>
    <cellStyle name="40% - Accent5 5" xfId="387" xr:uid="{00000000-0005-0000-0000-000030000000}"/>
    <cellStyle name="40% - Accent6 2" xfId="42" xr:uid="{00000000-0005-0000-0000-000031000000}"/>
    <cellStyle name="40% - Accent6 3" xfId="218" xr:uid="{00000000-0005-0000-0000-000032000000}"/>
    <cellStyle name="40% - Accent6 4" xfId="219" xr:uid="{00000000-0005-0000-0000-000033000000}"/>
    <cellStyle name="40% - Accent6 5" xfId="388" xr:uid="{00000000-0005-0000-0000-000034000000}"/>
    <cellStyle name="60% - Accent1 2" xfId="43" xr:uid="{00000000-0005-0000-0000-000035000000}"/>
    <cellStyle name="60% - Accent1 3" xfId="220" xr:uid="{00000000-0005-0000-0000-000036000000}"/>
    <cellStyle name="60% - Accent1 4" xfId="221" xr:uid="{00000000-0005-0000-0000-000037000000}"/>
    <cellStyle name="60% - Accent1 5" xfId="389" xr:uid="{00000000-0005-0000-0000-000038000000}"/>
    <cellStyle name="60% - Accent2 2" xfId="44" xr:uid="{00000000-0005-0000-0000-000039000000}"/>
    <cellStyle name="60% - Accent2 3" xfId="222" xr:uid="{00000000-0005-0000-0000-00003A000000}"/>
    <cellStyle name="60% - Accent2 4" xfId="223" xr:uid="{00000000-0005-0000-0000-00003B000000}"/>
    <cellStyle name="60% - Accent2 5" xfId="390" xr:uid="{00000000-0005-0000-0000-00003C000000}"/>
    <cellStyle name="60% - Accent3 2" xfId="45" xr:uid="{00000000-0005-0000-0000-00003D000000}"/>
    <cellStyle name="60% - Accent3 3" xfId="224" xr:uid="{00000000-0005-0000-0000-00003E000000}"/>
    <cellStyle name="60% - Accent3 4" xfId="225" xr:uid="{00000000-0005-0000-0000-00003F000000}"/>
    <cellStyle name="60% - Accent3 5" xfId="391" xr:uid="{00000000-0005-0000-0000-000040000000}"/>
    <cellStyle name="60% - Accent4 2" xfId="46" xr:uid="{00000000-0005-0000-0000-000041000000}"/>
    <cellStyle name="60% - Accent4 3" xfId="226" xr:uid="{00000000-0005-0000-0000-000042000000}"/>
    <cellStyle name="60% - Accent4 4" xfId="227" xr:uid="{00000000-0005-0000-0000-000043000000}"/>
    <cellStyle name="60% - Accent4 5" xfId="392" xr:uid="{00000000-0005-0000-0000-000044000000}"/>
    <cellStyle name="60% - Accent5 2" xfId="47" xr:uid="{00000000-0005-0000-0000-000045000000}"/>
    <cellStyle name="60% - Accent5 3" xfId="228" xr:uid="{00000000-0005-0000-0000-000046000000}"/>
    <cellStyle name="60% - Accent5 4" xfId="229" xr:uid="{00000000-0005-0000-0000-000047000000}"/>
    <cellStyle name="60% - Accent5 5" xfId="393" xr:uid="{00000000-0005-0000-0000-000048000000}"/>
    <cellStyle name="60% - Accent6 2" xfId="48" xr:uid="{00000000-0005-0000-0000-000049000000}"/>
    <cellStyle name="60% - Accent6 3" xfId="230" xr:uid="{00000000-0005-0000-0000-00004A000000}"/>
    <cellStyle name="60% - Accent6 4" xfId="231" xr:uid="{00000000-0005-0000-0000-00004B000000}"/>
    <cellStyle name="60% - Accent6 5" xfId="394" xr:uid="{00000000-0005-0000-0000-00004C000000}"/>
    <cellStyle name="Accent1 2" xfId="49" xr:uid="{00000000-0005-0000-0000-00004D000000}"/>
    <cellStyle name="Accent1 3" xfId="232" xr:uid="{00000000-0005-0000-0000-00004E000000}"/>
    <cellStyle name="Accent1 4" xfId="233" xr:uid="{00000000-0005-0000-0000-00004F000000}"/>
    <cellStyle name="Accent1 5" xfId="395" xr:uid="{00000000-0005-0000-0000-000050000000}"/>
    <cellStyle name="Accent2 2" xfId="50" xr:uid="{00000000-0005-0000-0000-000051000000}"/>
    <cellStyle name="Accent2 3" xfId="234" xr:uid="{00000000-0005-0000-0000-000052000000}"/>
    <cellStyle name="Accent2 4" xfId="235" xr:uid="{00000000-0005-0000-0000-000053000000}"/>
    <cellStyle name="Accent2 5" xfId="396" xr:uid="{00000000-0005-0000-0000-000054000000}"/>
    <cellStyle name="Accent3 2" xfId="51" xr:uid="{00000000-0005-0000-0000-000055000000}"/>
    <cellStyle name="Accent3 3" xfId="236" xr:uid="{00000000-0005-0000-0000-000056000000}"/>
    <cellStyle name="Accent3 4" xfId="237" xr:uid="{00000000-0005-0000-0000-000057000000}"/>
    <cellStyle name="Accent3 5" xfId="397" xr:uid="{00000000-0005-0000-0000-000058000000}"/>
    <cellStyle name="Accent4 2" xfId="52" xr:uid="{00000000-0005-0000-0000-000059000000}"/>
    <cellStyle name="Accent4 3" xfId="238" xr:uid="{00000000-0005-0000-0000-00005A000000}"/>
    <cellStyle name="Accent4 4" xfId="239" xr:uid="{00000000-0005-0000-0000-00005B000000}"/>
    <cellStyle name="Accent4 5" xfId="398" xr:uid="{00000000-0005-0000-0000-00005C000000}"/>
    <cellStyle name="Accent5 2" xfId="53" xr:uid="{00000000-0005-0000-0000-00005D000000}"/>
    <cellStyle name="Accent5 3" xfId="240" xr:uid="{00000000-0005-0000-0000-00005E000000}"/>
    <cellStyle name="Accent5 4" xfId="241" xr:uid="{00000000-0005-0000-0000-00005F000000}"/>
    <cellStyle name="Accent5 5" xfId="399" xr:uid="{00000000-0005-0000-0000-000060000000}"/>
    <cellStyle name="Accent6 2" xfId="54" xr:uid="{00000000-0005-0000-0000-000061000000}"/>
    <cellStyle name="Accent6 3" xfId="242" xr:uid="{00000000-0005-0000-0000-000062000000}"/>
    <cellStyle name="Accent6 4" xfId="243" xr:uid="{00000000-0005-0000-0000-000063000000}"/>
    <cellStyle name="Accent6 5" xfId="400" xr:uid="{00000000-0005-0000-0000-000064000000}"/>
    <cellStyle name="Bad 2" xfId="55" xr:uid="{00000000-0005-0000-0000-000065000000}"/>
    <cellStyle name="Bad 3" xfId="244" xr:uid="{00000000-0005-0000-0000-000066000000}"/>
    <cellStyle name="Bad 4" xfId="245" xr:uid="{00000000-0005-0000-0000-000067000000}"/>
    <cellStyle name="Bad 5" xfId="401" xr:uid="{00000000-0005-0000-0000-000068000000}"/>
    <cellStyle name="Calculation 2" xfId="56" xr:uid="{00000000-0005-0000-0000-000069000000}"/>
    <cellStyle name="Calculation 3" xfId="246" xr:uid="{00000000-0005-0000-0000-00006A000000}"/>
    <cellStyle name="Calculation 4" xfId="247" xr:uid="{00000000-0005-0000-0000-00006B000000}"/>
    <cellStyle name="Calculation 5" xfId="402" xr:uid="{00000000-0005-0000-0000-00006C000000}"/>
    <cellStyle name="Check Cell 2" xfId="57" xr:uid="{00000000-0005-0000-0000-00006D000000}"/>
    <cellStyle name="Check Cell 3" xfId="248" xr:uid="{00000000-0005-0000-0000-00006E000000}"/>
    <cellStyle name="Check Cell 4" xfId="249" xr:uid="{00000000-0005-0000-0000-00006F000000}"/>
    <cellStyle name="Check Cell 5" xfId="403" xr:uid="{00000000-0005-0000-0000-000070000000}"/>
    <cellStyle name="Comma" xfId="7" builtinId="3"/>
    <cellStyle name="Comma 10" xfId="433" xr:uid="{00000000-0005-0000-0000-0000DC010000}"/>
    <cellStyle name="Comma 2" xfId="250" xr:uid="{00000000-0005-0000-0000-000072000000}"/>
    <cellStyle name="Comma 2 2" xfId="371" xr:uid="{00000000-0005-0000-0000-000073000000}"/>
    <cellStyle name="Comma 2 2 2" xfId="405" xr:uid="{00000000-0005-0000-0000-000074000000}"/>
    <cellStyle name="Comma 2 3" xfId="404" xr:uid="{00000000-0005-0000-0000-000075000000}"/>
    <cellStyle name="Comma 2 4" xfId="370" xr:uid="{00000000-0005-0000-0000-000076000000}"/>
    <cellStyle name="Comma 3" xfId="4" xr:uid="{00000000-0005-0000-0000-000077000000}"/>
    <cellStyle name="Comma 3 2" xfId="406" xr:uid="{00000000-0005-0000-0000-000078000000}"/>
    <cellStyle name="Comma 4" xfId="251" xr:uid="{00000000-0005-0000-0000-000079000000}"/>
    <cellStyle name="Comma 4 2" xfId="252" xr:uid="{00000000-0005-0000-0000-00007A000000}"/>
    <cellStyle name="Comma 5" xfId="253" xr:uid="{00000000-0005-0000-0000-00007B000000}"/>
    <cellStyle name="Comma 5 2" xfId="254" xr:uid="{00000000-0005-0000-0000-00007C000000}"/>
    <cellStyle name="Comma 6" xfId="255" xr:uid="{00000000-0005-0000-0000-00007D000000}"/>
    <cellStyle name="Comma 6 2" xfId="256" xr:uid="{00000000-0005-0000-0000-00007E000000}"/>
    <cellStyle name="Comma 7" xfId="407" xr:uid="{00000000-0005-0000-0000-00007F000000}"/>
    <cellStyle name="Comma 8" xfId="408" xr:uid="{00000000-0005-0000-0000-000080000000}"/>
    <cellStyle name="Comma 9" xfId="409" xr:uid="{00000000-0005-0000-0000-000081000000}"/>
    <cellStyle name="Currency 2" xfId="431" xr:uid="{00000000-0005-0000-0000-000082000000}"/>
    <cellStyle name="Currency 3" xfId="426" xr:uid="{00000000-0005-0000-0000-000083000000}"/>
    <cellStyle name="Explanatory Text 2" xfId="58" xr:uid="{00000000-0005-0000-0000-000084000000}"/>
    <cellStyle name="Explanatory Text 3" xfId="257" xr:uid="{00000000-0005-0000-0000-000085000000}"/>
    <cellStyle name="Explanatory Text 4" xfId="258" xr:uid="{00000000-0005-0000-0000-000086000000}"/>
    <cellStyle name="Explanatory Text 5" xfId="410" xr:uid="{00000000-0005-0000-0000-000087000000}"/>
    <cellStyle name="Good 2" xfId="59" xr:uid="{00000000-0005-0000-0000-000088000000}"/>
    <cellStyle name="Good 3" xfId="259" xr:uid="{00000000-0005-0000-0000-000089000000}"/>
    <cellStyle name="Good 4" xfId="260" xr:uid="{00000000-0005-0000-0000-00008A000000}"/>
    <cellStyle name="Good 5" xfId="411" xr:uid="{00000000-0005-0000-0000-00008B000000}"/>
    <cellStyle name="Heading 1 2" xfId="60" xr:uid="{00000000-0005-0000-0000-00008C000000}"/>
    <cellStyle name="Heading 1 3" xfId="261" xr:uid="{00000000-0005-0000-0000-00008D000000}"/>
    <cellStyle name="Heading 1 4" xfId="262" xr:uid="{00000000-0005-0000-0000-00008E000000}"/>
    <cellStyle name="Heading 1 5" xfId="412" xr:uid="{00000000-0005-0000-0000-00008F000000}"/>
    <cellStyle name="Heading 2 2" xfId="61" xr:uid="{00000000-0005-0000-0000-000090000000}"/>
    <cellStyle name="Heading 2 3" xfId="263" xr:uid="{00000000-0005-0000-0000-000091000000}"/>
    <cellStyle name="Heading 2 4" xfId="264" xr:uid="{00000000-0005-0000-0000-000092000000}"/>
    <cellStyle name="Heading 2 5" xfId="413" xr:uid="{00000000-0005-0000-0000-000093000000}"/>
    <cellStyle name="Heading 3 2" xfId="62" xr:uid="{00000000-0005-0000-0000-000094000000}"/>
    <cellStyle name="Heading 3 3" xfId="265" xr:uid="{00000000-0005-0000-0000-000095000000}"/>
    <cellStyle name="Heading 3 4" xfId="266" xr:uid="{00000000-0005-0000-0000-000096000000}"/>
    <cellStyle name="Heading 3 5" xfId="414" xr:uid="{00000000-0005-0000-0000-000097000000}"/>
    <cellStyle name="Heading 4 2" xfId="63" xr:uid="{00000000-0005-0000-0000-000098000000}"/>
    <cellStyle name="Heading 4 3" xfId="267" xr:uid="{00000000-0005-0000-0000-000099000000}"/>
    <cellStyle name="Heading 4 4" xfId="268" xr:uid="{00000000-0005-0000-0000-00009A000000}"/>
    <cellStyle name="Heading 4 5" xfId="415" xr:uid="{00000000-0005-0000-0000-00009B000000}"/>
    <cellStyle name="Input 2" xfId="64" xr:uid="{00000000-0005-0000-0000-00009C000000}"/>
    <cellStyle name="Input 3" xfId="269" xr:uid="{00000000-0005-0000-0000-00009D000000}"/>
    <cellStyle name="Input 4" xfId="270" xr:uid="{00000000-0005-0000-0000-00009E000000}"/>
    <cellStyle name="Input 5" xfId="416" xr:uid="{00000000-0005-0000-0000-00009F000000}"/>
    <cellStyle name="Linked Cell 2" xfId="65" xr:uid="{00000000-0005-0000-0000-0000A0000000}"/>
    <cellStyle name="Linked Cell 3" xfId="271" xr:uid="{00000000-0005-0000-0000-0000A1000000}"/>
    <cellStyle name="Linked Cell 4" xfId="272" xr:uid="{00000000-0005-0000-0000-0000A2000000}"/>
    <cellStyle name="Linked Cell 5" xfId="417" xr:uid="{00000000-0005-0000-0000-0000A3000000}"/>
    <cellStyle name="Neutral 2" xfId="66" xr:uid="{00000000-0005-0000-0000-0000A4000000}"/>
    <cellStyle name="Neutral 3" xfId="273" xr:uid="{00000000-0005-0000-0000-0000A5000000}"/>
    <cellStyle name="Neutral 4" xfId="274" xr:uid="{00000000-0005-0000-0000-0000A6000000}"/>
    <cellStyle name="Neutral 5" xfId="418" xr:uid="{00000000-0005-0000-0000-0000A7000000}"/>
    <cellStyle name="Normal" xfId="0" builtinId="0"/>
    <cellStyle name="Normal 10" xfId="16" xr:uid="{00000000-0005-0000-0000-0000A9000000}"/>
    <cellStyle name="Normal 10 2" xfId="276" xr:uid="{00000000-0005-0000-0000-0000AA000000}"/>
    <cellStyle name="Normal 10 3" xfId="275" xr:uid="{00000000-0005-0000-0000-0000AB000000}"/>
    <cellStyle name="Normal 100" xfId="150" xr:uid="{00000000-0005-0000-0000-0000AC000000}"/>
    <cellStyle name="Normal 101" xfId="151" xr:uid="{00000000-0005-0000-0000-0000AD000000}"/>
    <cellStyle name="Normal 102" xfId="152" xr:uid="{00000000-0005-0000-0000-0000AE000000}"/>
    <cellStyle name="Normal 103" xfId="153" xr:uid="{00000000-0005-0000-0000-0000AF000000}"/>
    <cellStyle name="Normal 104" xfId="154" xr:uid="{00000000-0005-0000-0000-0000B0000000}"/>
    <cellStyle name="Normal 105" xfId="155" xr:uid="{00000000-0005-0000-0000-0000B1000000}"/>
    <cellStyle name="Normal 106" xfId="156" xr:uid="{00000000-0005-0000-0000-0000B2000000}"/>
    <cellStyle name="Normal 107" xfId="157" xr:uid="{00000000-0005-0000-0000-0000B3000000}"/>
    <cellStyle name="Normal 108" xfId="158" xr:uid="{00000000-0005-0000-0000-0000B4000000}"/>
    <cellStyle name="Normal 109" xfId="159" xr:uid="{00000000-0005-0000-0000-0000B5000000}"/>
    <cellStyle name="Normal 11" xfId="17" xr:uid="{00000000-0005-0000-0000-0000B6000000}"/>
    <cellStyle name="Normal 110" xfId="160" xr:uid="{00000000-0005-0000-0000-0000B7000000}"/>
    <cellStyle name="Normal 111" xfId="161" xr:uid="{00000000-0005-0000-0000-0000B8000000}"/>
    <cellStyle name="Normal 112" xfId="162" xr:uid="{00000000-0005-0000-0000-0000B9000000}"/>
    <cellStyle name="Normal 113" xfId="163" xr:uid="{00000000-0005-0000-0000-0000BA000000}"/>
    <cellStyle name="Normal 114" xfId="164" xr:uid="{00000000-0005-0000-0000-0000BB000000}"/>
    <cellStyle name="Normal 115" xfId="165" xr:uid="{00000000-0005-0000-0000-0000BC000000}"/>
    <cellStyle name="Normal 116" xfId="166" xr:uid="{00000000-0005-0000-0000-0000BD000000}"/>
    <cellStyle name="Normal 117" xfId="167" xr:uid="{00000000-0005-0000-0000-0000BE000000}"/>
    <cellStyle name="Normal 118" xfId="168" xr:uid="{00000000-0005-0000-0000-0000BF000000}"/>
    <cellStyle name="Normal 119" xfId="169" xr:uid="{00000000-0005-0000-0000-0000C0000000}"/>
    <cellStyle name="Normal 12" xfId="18" xr:uid="{00000000-0005-0000-0000-0000C1000000}"/>
    <cellStyle name="Normal 120" xfId="170" xr:uid="{00000000-0005-0000-0000-0000C2000000}"/>
    <cellStyle name="Normal 121" xfId="171" xr:uid="{00000000-0005-0000-0000-0000C3000000}"/>
    <cellStyle name="Normal 122" xfId="172" xr:uid="{00000000-0005-0000-0000-0000C4000000}"/>
    <cellStyle name="Normal 123" xfId="173" xr:uid="{00000000-0005-0000-0000-0000C5000000}"/>
    <cellStyle name="Normal 124" xfId="174" xr:uid="{00000000-0005-0000-0000-0000C6000000}"/>
    <cellStyle name="Normal 125" xfId="175" xr:uid="{00000000-0005-0000-0000-0000C7000000}"/>
    <cellStyle name="Normal 126" xfId="176" xr:uid="{00000000-0005-0000-0000-0000C8000000}"/>
    <cellStyle name="Normal 127" xfId="177" xr:uid="{00000000-0005-0000-0000-0000C9000000}"/>
    <cellStyle name="Normal 128" xfId="178" xr:uid="{00000000-0005-0000-0000-0000CA000000}"/>
    <cellStyle name="Normal 129" xfId="179" xr:uid="{00000000-0005-0000-0000-0000CB000000}"/>
    <cellStyle name="Normal 13" xfId="19" xr:uid="{00000000-0005-0000-0000-0000CC000000}"/>
    <cellStyle name="Normal 130" xfId="180" xr:uid="{00000000-0005-0000-0000-0000CD000000}"/>
    <cellStyle name="Normal 131" xfId="181" xr:uid="{00000000-0005-0000-0000-0000CE000000}"/>
    <cellStyle name="Normal 132" xfId="182" xr:uid="{00000000-0005-0000-0000-0000CF000000}"/>
    <cellStyle name="Normal 133" xfId="183" xr:uid="{00000000-0005-0000-0000-0000D0000000}"/>
    <cellStyle name="Normal 134" xfId="184" xr:uid="{00000000-0005-0000-0000-0000D1000000}"/>
    <cellStyle name="Normal 135" xfId="185" xr:uid="{00000000-0005-0000-0000-0000D2000000}"/>
    <cellStyle name="Normal 136" xfId="186" xr:uid="{00000000-0005-0000-0000-0000D3000000}"/>
    <cellStyle name="Normal 137" xfId="187" xr:uid="{00000000-0005-0000-0000-0000D4000000}"/>
    <cellStyle name="Normal 138" xfId="188" xr:uid="{00000000-0005-0000-0000-0000D5000000}"/>
    <cellStyle name="Normal 139" xfId="189" xr:uid="{00000000-0005-0000-0000-0000D6000000}"/>
    <cellStyle name="Normal 14" xfId="20" xr:uid="{00000000-0005-0000-0000-0000D7000000}"/>
    <cellStyle name="Normal 140" xfId="190" xr:uid="{00000000-0005-0000-0000-0000D8000000}"/>
    <cellStyle name="Normal 141" xfId="191" xr:uid="{00000000-0005-0000-0000-0000D9000000}"/>
    <cellStyle name="Normal 142" xfId="192" xr:uid="{00000000-0005-0000-0000-0000DA000000}"/>
    <cellStyle name="Normal 143" xfId="311" xr:uid="{00000000-0005-0000-0000-0000DB000000}"/>
    <cellStyle name="Normal 144" xfId="312" xr:uid="{00000000-0005-0000-0000-0000DC000000}"/>
    <cellStyle name="Normal 145" xfId="313" xr:uid="{00000000-0005-0000-0000-0000DD000000}"/>
    <cellStyle name="Normal 146" xfId="314" xr:uid="{00000000-0005-0000-0000-0000DE000000}"/>
    <cellStyle name="Normal 147" xfId="315" xr:uid="{00000000-0005-0000-0000-0000DF000000}"/>
    <cellStyle name="Normal 148" xfId="316" xr:uid="{00000000-0005-0000-0000-0000E0000000}"/>
    <cellStyle name="Normal 149" xfId="317" xr:uid="{00000000-0005-0000-0000-0000E1000000}"/>
    <cellStyle name="Normal 15" xfId="21" xr:uid="{00000000-0005-0000-0000-0000E2000000}"/>
    <cellStyle name="Normal 150" xfId="318" xr:uid="{00000000-0005-0000-0000-0000E3000000}"/>
    <cellStyle name="Normal 151" xfId="319" xr:uid="{00000000-0005-0000-0000-0000E4000000}"/>
    <cellStyle name="Normal 152" xfId="320" xr:uid="{00000000-0005-0000-0000-0000E5000000}"/>
    <cellStyle name="Normal 153" xfId="321" xr:uid="{00000000-0005-0000-0000-0000E6000000}"/>
    <cellStyle name="Normal 154" xfId="322" xr:uid="{00000000-0005-0000-0000-0000E7000000}"/>
    <cellStyle name="Normal 155" xfId="323" xr:uid="{00000000-0005-0000-0000-0000E8000000}"/>
    <cellStyle name="Normal 156" xfId="324" xr:uid="{00000000-0005-0000-0000-0000E9000000}"/>
    <cellStyle name="Normal 157" xfId="327" xr:uid="{00000000-0005-0000-0000-0000EA000000}"/>
    <cellStyle name="Normal 158" xfId="326" xr:uid="{00000000-0005-0000-0000-0000EB000000}"/>
    <cellStyle name="Normal 159" xfId="325" xr:uid="{00000000-0005-0000-0000-0000EC000000}"/>
    <cellStyle name="Normal 16" xfId="22" xr:uid="{00000000-0005-0000-0000-0000ED000000}"/>
    <cellStyle name="Normal 160" xfId="328" xr:uid="{00000000-0005-0000-0000-0000EE000000}"/>
    <cellStyle name="Normal 161" xfId="329" xr:uid="{00000000-0005-0000-0000-0000EF000000}"/>
    <cellStyle name="Normal 162" xfId="330" xr:uid="{00000000-0005-0000-0000-0000F0000000}"/>
    <cellStyle name="Normal 163" xfId="331" xr:uid="{00000000-0005-0000-0000-0000F1000000}"/>
    <cellStyle name="Normal 164" xfId="332" xr:uid="{00000000-0005-0000-0000-0000F2000000}"/>
    <cellStyle name="Normal 165" xfId="333" xr:uid="{00000000-0005-0000-0000-0000F3000000}"/>
    <cellStyle name="Normal 166" xfId="334" xr:uid="{00000000-0005-0000-0000-0000F4000000}"/>
    <cellStyle name="Normal 167" xfId="335" xr:uid="{00000000-0005-0000-0000-0000F5000000}"/>
    <cellStyle name="Normal 168" xfId="336" xr:uid="{00000000-0005-0000-0000-0000F6000000}"/>
    <cellStyle name="Normal 169" xfId="337" xr:uid="{00000000-0005-0000-0000-0000F7000000}"/>
    <cellStyle name="Normal 17" xfId="23" xr:uid="{00000000-0005-0000-0000-0000F8000000}"/>
    <cellStyle name="Normal 170" xfId="338" xr:uid="{00000000-0005-0000-0000-0000F9000000}"/>
    <cellStyle name="Normal 171" xfId="339" xr:uid="{00000000-0005-0000-0000-0000FA000000}"/>
    <cellStyle name="Normal 172" xfId="340" xr:uid="{00000000-0005-0000-0000-0000FB000000}"/>
    <cellStyle name="Normal 173" xfId="341" xr:uid="{00000000-0005-0000-0000-0000FC000000}"/>
    <cellStyle name="Normal 174" xfId="342" xr:uid="{00000000-0005-0000-0000-0000FD000000}"/>
    <cellStyle name="Normal 175" xfId="343" xr:uid="{00000000-0005-0000-0000-0000FE000000}"/>
    <cellStyle name="Normal 176" xfId="344" xr:uid="{00000000-0005-0000-0000-0000FF000000}"/>
    <cellStyle name="Normal 177" xfId="345" xr:uid="{00000000-0005-0000-0000-000000010000}"/>
    <cellStyle name="Normal 178" xfId="346" xr:uid="{00000000-0005-0000-0000-000001010000}"/>
    <cellStyle name="Normal 179" xfId="347" xr:uid="{00000000-0005-0000-0000-000002010000}"/>
    <cellStyle name="Normal 18" xfId="24" xr:uid="{00000000-0005-0000-0000-000003010000}"/>
    <cellStyle name="Normal 180" xfId="348" xr:uid="{00000000-0005-0000-0000-000004010000}"/>
    <cellStyle name="Normal 181" xfId="349" xr:uid="{00000000-0005-0000-0000-000005010000}"/>
    <cellStyle name="Normal 182" xfId="350" xr:uid="{00000000-0005-0000-0000-000006010000}"/>
    <cellStyle name="Normal 183" xfId="351" xr:uid="{00000000-0005-0000-0000-000007010000}"/>
    <cellStyle name="Normal 184" xfId="352" xr:uid="{00000000-0005-0000-0000-000008010000}"/>
    <cellStyle name="Normal 185" xfId="353" xr:uid="{00000000-0005-0000-0000-000009010000}"/>
    <cellStyle name="Normal 186" xfId="354" xr:uid="{00000000-0005-0000-0000-00000A010000}"/>
    <cellStyle name="Normal 187" xfId="355" xr:uid="{00000000-0005-0000-0000-00000B010000}"/>
    <cellStyle name="Normal 188" xfId="356" xr:uid="{00000000-0005-0000-0000-00000C010000}"/>
    <cellStyle name="Normal 189" xfId="357" xr:uid="{00000000-0005-0000-0000-00000D010000}"/>
    <cellStyle name="Normal 19" xfId="25" xr:uid="{00000000-0005-0000-0000-00000E010000}"/>
    <cellStyle name="Normal 190" xfId="358" xr:uid="{00000000-0005-0000-0000-00000F010000}"/>
    <cellStyle name="Normal 191" xfId="359" xr:uid="{00000000-0005-0000-0000-000010010000}"/>
    <cellStyle name="Normal 192" xfId="360" xr:uid="{00000000-0005-0000-0000-000011010000}"/>
    <cellStyle name="Normal 193" xfId="361" xr:uid="{00000000-0005-0000-0000-000012010000}"/>
    <cellStyle name="Normal 194" xfId="362" xr:uid="{00000000-0005-0000-0000-000013010000}"/>
    <cellStyle name="Normal 195" xfId="363" xr:uid="{00000000-0005-0000-0000-000014010000}"/>
    <cellStyle name="Normal 196" xfId="365" xr:uid="{00000000-0005-0000-0000-000015010000}"/>
    <cellStyle name="Normal 197" xfId="366" xr:uid="{00000000-0005-0000-0000-000016010000}"/>
    <cellStyle name="Normal 198" xfId="367" xr:uid="{00000000-0005-0000-0000-000017010000}"/>
    <cellStyle name="Normal 199" xfId="364" xr:uid="{00000000-0005-0000-0000-000018010000}"/>
    <cellStyle name="Normal 2" xfId="5" xr:uid="{00000000-0005-0000-0000-000019010000}"/>
    <cellStyle name="Normal 2 2" xfId="121" xr:uid="{00000000-0005-0000-0000-00001A010000}"/>
    <cellStyle name="Normal 2 2 2" xfId="279" xr:uid="{00000000-0005-0000-0000-00001B010000}"/>
    <cellStyle name="Normal 2 2 3" xfId="278" xr:uid="{00000000-0005-0000-0000-00001C010000}"/>
    <cellStyle name="Normal 2 3" xfId="280" xr:uid="{00000000-0005-0000-0000-00001D010000}"/>
    <cellStyle name="Normal 2 4" xfId="277" xr:uid="{00000000-0005-0000-0000-00001E010000}"/>
    <cellStyle name="Normal 2 5" xfId="427" xr:uid="{00000000-0005-0000-0000-00001F010000}"/>
    <cellStyle name="Normal 20" xfId="26" xr:uid="{00000000-0005-0000-0000-000020010000}"/>
    <cellStyle name="Normal 200" xfId="368" xr:uid="{00000000-0005-0000-0000-000021010000}"/>
    <cellStyle name="Normal 201" xfId="369" xr:uid="{00000000-0005-0000-0000-000022010000}"/>
    <cellStyle name="Normal 202" xfId="375" xr:uid="{00000000-0005-0000-0000-000023010000}"/>
    <cellStyle name="Normal 203" xfId="373" xr:uid="{00000000-0005-0000-0000-000024010000}"/>
    <cellStyle name="Normal 204" xfId="8" xr:uid="{00000000-0005-0000-0000-000025010000}"/>
    <cellStyle name="Normal 205" xfId="432" xr:uid="{00000000-0005-0000-0000-0000DD010000}"/>
    <cellStyle name="Normal 21" xfId="27" xr:uid="{00000000-0005-0000-0000-000026010000}"/>
    <cellStyle name="Normal 22" xfId="28" xr:uid="{00000000-0005-0000-0000-000027010000}"/>
    <cellStyle name="Normal 23" xfId="29" xr:uid="{00000000-0005-0000-0000-000028010000}"/>
    <cellStyle name="Normal 24" xfId="30" xr:uid="{00000000-0005-0000-0000-000029010000}"/>
    <cellStyle name="Normal 25" xfId="72" xr:uid="{00000000-0005-0000-0000-00002A010000}"/>
    <cellStyle name="Normal 26" xfId="73" xr:uid="{00000000-0005-0000-0000-00002B010000}"/>
    <cellStyle name="Normal 267" xfId="428" xr:uid="{00000000-0005-0000-0000-00002C010000}"/>
    <cellStyle name="Normal 27" xfId="2" xr:uid="{00000000-0005-0000-0000-00002D010000}"/>
    <cellStyle name="Normal 27 2" xfId="74" xr:uid="{00000000-0005-0000-0000-00002E010000}"/>
    <cellStyle name="Normal 28" xfId="75" xr:uid="{00000000-0005-0000-0000-00002F010000}"/>
    <cellStyle name="Normal 29" xfId="76" xr:uid="{00000000-0005-0000-0000-000030010000}"/>
    <cellStyle name="Normal 3" xfId="3" xr:uid="{00000000-0005-0000-0000-000031010000}"/>
    <cellStyle name="Normal 3 2" xfId="282" xr:uid="{00000000-0005-0000-0000-000032010000}"/>
    <cellStyle name="Normal 3 3" xfId="281" xr:uid="{00000000-0005-0000-0000-000033010000}"/>
    <cellStyle name="Normal 3 4" xfId="9" xr:uid="{00000000-0005-0000-0000-000034010000}"/>
    <cellStyle name="Normal 3 5" xfId="429" xr:uid="{00000000-0005-0000-0000-000035010000}"/>
    <cellStyle name="Normal 30" xfId="77" xr:uid="{00000000-0005-0000-0000-000036010000}"/>
    <cellStyle name="Normal 31" xfId="79" xr:uid="{00000000-0005-0000-0000-000037010000}"/>
    <cellStyle name="Normal 32" xfId="80" xr:uid="{00000000-0005-0000-0000-000038010000}"/>
    <cellStyle name="Normal 33" xfId="81" xr:uid="{00000000-0005-0000-0000-000039010000}"/>
    <cellStyle name="Normal 34" xfId="82" xr:uid="{00000000-0005-0000-0000-00003A010000}"/>
    <cellStyle name="Normal 35" xfId="83" xr:uid="{00000000-0005-0000-0000-00003B010000}"/>
    <cellStyle name="Normal 36" xfId="84" xr:uid="{00000000-0005-0000-0000-00003C010000}"/>
    <cellStyle name="Normal 37" xfId="85" xr:uid="{00000000-0005-0000-0000-00003D010000}"/>
    <cellStyle name="Normal 38" xfId="86" xr:uid="{00000000-0005-0000-0000-00003E010000}"/>
    <cellStyle name="Normal 39" xfId="88" xr:uid="{00000000-0005-0000-0000-00003F010000}"/>
    <cellStyle name="Normal 4" xfId="10" xr:uid="{00000000-0005-0000-0000-000040010000}"/>
    <cellStyle name="Normal 4 2" xfId="284" xr:uid="{00000000-0005-0000-0000-000041010000}"/>
    <cellStyle name="Normal 4 2 2" xfId="285" xr:uid="{00000000-0005-0000-0000-000042010000}"/>
    <cellStyle name="Normal 4 3" xfId="286" xr:uid="{00000000-0005-0000-0000-000043010000}"/>
    <cellStyle name="Normal 4 4" xfId="283" xr:uid="{00000000-0005-0000-0000-000044010000}"/>
    <cellStyle name="Normal 4 5" xfId="430" xr:uid="{00000000-0005-0000-0000-000045010000}"/>
    <cellStyle name="Normal 40" xfId="89" xr:uid="{00000000-0005-0000-0000-000046010000}"/>
    <cellStyle name="Normal 41" xfId="90" xr:uid="{00000000-0005-0000-0000-000047010000}"/>
    <cellStyle name="Normal 42" xfId="91" xr:uid="{00000000-0005-0000-0000-000048010000}"/>
    <cellStyle name="Normal 43" xfId="92" xr:uid="{00000000-0005-0000-0000-000049010000}"/>
    <cellStyle name="Normal 44" xfId="93" xr:uid="{00000000-0005-0000-0000-00004A010000}"/>
    <cellStyle name="Normal 45" xfId="94" xr:uid="{00000000-0005-0000-0000-00004B010000}"/>
    <cellStyle name="Normal 46" xfId="95" xr:uid="{00000000-0005-0000-0000-00004C010000}"/>
    <cellStyle name="Normal 47" xfId="96" xr:uid="{00000000-0005-0000-0000-00004D010000}"/>
    <cellStyle name="Normal 48" xfId="97" xr:uid="{00000000-0005-0000-0000-00004E010000}"/>
    <cellStyle name="Normal 49" xfId="98" xr:uid="{00000000-0005-0000-0000-00004F010000}"/>
    <cellStyle name="Normal 5" xfId="11" xr:uid="{00000000-0005-0000-0000-000050010000}"/>
    <cellStyle name="Normal 5 2" xfId="287" xr:uid="{00000000-0005-0000-0000-000051010000}"/>
    <cellStyle name="Normal 50" xfId="99" xr:uid="{00000000-0005-0000-0000-000052010000}"/>
    <cellStyle name="Normal 51" xfId="101" xr:uid="{00000000-0005-0000-0000-000053010000}"/>
    <cellStyle name="Normal 52" xfId="100" xr:uid="{00000000-0005-0000-0000-000054010000}"/>
    <cellStyle name="Normal 53" xfId="102" xr:uid="{00000000-0005-0000-0000-000055010000}"/>
    <cellStyle name="Normal 53 2" xfId="6" xr:uid="{00000000-0005-0000-0000-000056010000}"/>
    <cellStyle name="Normal 54" xfId="103" xr:uid="{00000000-0005-0000-0000-000057010000}"/>
    <cellStyle name="Normal 55" xfId="104" xr:uid="{00000000-0005-0000-0000-000058010000}"/>
    <cellStyle name="Normal 56" xfId="105" xr:uid="{00000000-0005-0000-0000-000059010000}"/>
    <cellStyle name="Normal 57" xfId="106" xr:uid="{00000000-0005-0000-0000-00005A010000}"/>
    <cellStyle name="Normal 58" xfId="107" xr:uid="{00000000-0005-0000-0000-00005B010000}"/>
    <cellStyle name="Normal 59" xfId="108" xr:uid="{00000000-0005-0000-0000-00005C010000}"/>
    <cellStyle name="Normal 6" xfId="12" xr:uid="{00000000-0005-0000-0000-00005D010000}"/>
    <cellStyle name="Normal 6 2" xfId="288" xr:uid="{00000000-0005-0000-0000-00005E010000}"/>
    <cellStyle name="Normal 6 3" xfId="374" xr:uid="{00000000-0005-0000-0000-00005F010000}"/>
    <cellStyle name="Normal 60" xfId="109" xr:uid="{00000000-0005-0000-0000-000060010000}"/>
    <cellStyle name="Normal 61" xfId="110" xr:uid="{00000000-0005-0000-0000-000061010000}"/>
    <cellStyle name="Normal 62" xfId="111" xr:uid="{00000000-0005-0000-0000-000062010000}"/>
    <cellStyle name="Normal 63" xfId="112" xr:uid="{00000000-0005-0000-0000-000063010000}"/>
    <cellStyle name="Normal 64" xfId="113" xr:uid="{00000000-0005-0000-0000-000064010000}"/>
    <cellStyle name="Normal 65" xfId="114" xr:uid="{00000000-0005-0000-0000-000065010000}"/>
    <cellStyle name="Normal 66" xfId="115" xr:uid="{00000000-0005-0000-0000-000066010000}"/>
    <cellStyle name="Normal 67" xfId="116" xr:uid="{00000000-0005-0000-0000-000067010000}"/>
    <cellStyle name="Normal 68" xfId="117" xr:uid="{00000000-0005-0000-0000-000068010000}"/>
    <cellStyle name="Normal 69" xfId="118" xr:uid="{00000000-0005-0000-0000-000069010000}"/>
    <cellStyle name="Normal 7" xfId="13" xr:uid="{00000000-0005-0000-0000-00006A010000}"/>
    <cellStyle name="Normal 7 2" xfId="289" xr:uid="{00000000-0005-0000-0000-00006B010000}"/>
    <cellStyle name="Normal 7 2 2" xfId="419" xr:uid="{00000000-0005-0000-0000-00006C010000}"/>
    <cellStyle name="Normal 70" xfId="119" xr:uid="{00000000-0005-0000-0000-00006D010000}"/>
    <cellStyle name="Normal 71" xfId="120" xr:uid="{00000000-0005-0000-0000-00006E010000}"/>
    <cellStyle name="Normal 72" xfId="122" xr:uid="{00000000-0005-0000-0000-00006F010000}"/>
    <cellStyle name="Normal 73" xfId="123" xr:uid="{00000000-0005-0000-0000-000070010000}"/>
    <cellStyle name="Normal 74" xfId="124" xr:uid="{00000000-0005-0000-0000-000071010000}"/>
    <cellStyle name="Normal 75" xfId="125" xr:uid="{00000000-0005-0000-0000-000072010000}"/>
    <cellStyle name="Normal 76" xfId="126" xr:uid="{00000000-0005-0000-0000-000073010000}"/>
    <cellStyle name="Normal 77" xfId="127" xr:uid="{00000000-0005-0000-0000-000074010000}"/>
    <cellStyle name="Normal 78" xfId="128" xr:uid="{00000000-0005-0000-0000-000075010000}"/>
    <cellStyle name="Normal 79" xfId="129" xr:uid="{00000000-0005-0000-0000-000076010000}"/>
    <cellStyle name="Normal 8" xfId="14" xr:uid="{00000000-0005-0000-0000-000077010000}"/>
    <cellStyle name="Normal 8 2" xfId="291" xr:uid="{00000000-0005-0000-0000-000078010000}"/>
    <cellStyle name="Normal 8 3" xfId="290" xr:uid="{00000000-0005-0000-0000-000079010000}"/>
    <cellStyle name="Normal 80" xfId="130" xr:uid="{00000000-0005-0000-0000-00007A010000}"/>
    <cellStyle name="Normal 81" xfId="131" xr:uid="{00000000-0005-0000-0000-00007B010000}"/>
    <cellStyle name="Normal 82" xfId="132" xr:uid="{00000000-0005-0000-0000-00007C010000}"/>
    <cellStyle name="Normal 83" xfId="133" xr:uid="{00000000-0005-0000-0000-00007D010000}"/>
    <cellStyle name="Normal 84" xfId="134" xr:uid="{00000000-0005-0000-0000-00007E010000}"/>
    <cellStyle name="Normal 85" xfId="135" xr:uid="{00000000-0005-0000-0000-00007F010000}"/>
    <cellStyle name="Normal 86" xfId="136" xr:uid="{00000000-0005-0000-0000-000080010000}"/>
    <cellStyle name="Normal 87" xfId="137" xr:uid="{00000000-0005-0000-0000-000081010000}"/>
    <cellStyle name="Normal 88" xfId="138" xr:uid="{00000000-0005-0000-0000-000082010000}"/>
    <cellStyle name="Normal 89" xfId="139" xr:uid="{00000000-0005-0000-0000-000083010000}"/>
    <cellStyle name="Normal 9" xfId="15" xr:uid="{00000000-0005-0000-0000-000084010000}"/>
    <cellStyle name="Normal 9 2" xfId="293" xr:uid="{00000000-0005-0000-0000-000085010000}"/>
    <cellStyle name="Normal 9 3" xfId="292" xr:uid="{00000000-0005-0000-0000-000086010000}"/>
    <cellStyle name="Normal 90" xfId="140" xr:uid="{00000000-0005-0000-0000-000087010000}"/>
    <cellStyle name="Normal 91" xfId="141" xr:uid="{00000000-0005-0000-0000-000088010000}"/>
    <cellStyle name="Normal 92" xfId="142" xr:uid="{00000000-0005-0000-0000-000089010000}"/>
    <cellStyle name="Normal 93" xfId="143" xr:uid="{00000000-0005-0000-0000-00008A010000}"/>
    <cellStyle name="Normal 94" xfId="144" xr:uid="{00000000-0005-0000-0000-00008B010000}"/>
    <cellStyle name="Normal 95" xfId="145" xr:uid="{00000000-0005-0000-0000-00008C010000}"/>
    <cellStyle name="Normal 96" xfId="146" xr:uid="{00000000-0005-0000-0000-00008D010000}"/>
    <cellStyle name="Normal 97" xfId="147" xr:uid="{00000000-0005-0000-0000-00008E010000}"/>
    <cellStyle name="Normal 98" xfId="148" xr:uid="{00000000-0005-0000-0000-00008F010000}"/>
    <cellStyle name="Normal 99" xfId="149" xr:uid="{00000000-0005-0000-0000-000090010000}"/>
    <cellStyle name="Note 2" xfId="67" xr:uid="{00000000-0005-0000-0000-000091010000}"/>
    <cellStyle name="Note 2 2" xfId="78" xr:uid="{00000000-0005-0000-0000-000092010000}"/>
    <cellStyle name="Note 2 2 2" xfId="295" xr:uid="{00000000-0005-0000-0000-000093010000}"/>
    <cellStyle name="Note 2 3" xfId="294" xr:uid="{00000000-0005-0000-0000-000094010000}"/>
    <cellStyle name="Note 3" xfId="296" xr:uid="{00000000-0005-0000-0000-000095010000}"/>
    <cellStyle name="Note 3 2" xfId="297" xr:uid="{00000000-0005-0000-0000-000096010000}"/>
    <cellStyle name="Note 4" xfId="298" xr:uid="{00000000-0005-0000-0000-000097010000}"/>
    <cellStyle name="Note 5" xfId="420" xr:uid="{00000000-0005-0000-0000-000098010000}"/>
    <cellStyle name="Output 2" xfId="68" xr:uid="{00000000-0005-0000-0000-000099010000}"/>
    <cellStyle name="Output 3" xfId="299" xr:uid="{00000000-0005-0000-0000-00009A010000}"/>
    <cellStyle name="Output 4" xfId="300" xr:uid="{00000000-0005-0000-0000-00009B010000}"/>
    <cellStyle name="Output 5" xfId="421" xr:uid="{00000000-0005-0000-0000-00009C010000}"/>
    <cellStyle name="Percent" xfId="1" builtinId="5"/>
    <cellStyle name="Percent 2" xfId="87" xr:uid="{00000000-0005-0000-0000-00009E010000}"/>
    <cellStyle name="Percent 2 2" xfId="301" xr:uid="{00000000-0005-0000-0000-00009F010000}"/>
    <cellStyle name="Percent 3" xfId="422" xr:uid="{00000000-0005-0000-0000-0000A0010000}"/>
    <cellStyle name="Percent 4" xfId="434" xr:uid="{00000000-0005-0000-0000-0000DE010000}"/>
    <cellStyle name="Style 1" xfId="302" xr:uid="{00000000-0005-0000-0000-0000A1010000}"/>
    <cellStyle name="Style 1 2" xfId="303" xr:uid="{00000000-0005-0000-0000-0000A2010000}"/>
    <cellStyle name="Title 2" xfId="69" xr:uid="{00000000-0005-0000-0000-0000A3010000}"/>
    <cellStyle name="Title 3" xfId="304" xr:uid="{00000000-0005-0000-0000-0000A4010000}"/>
    <cellStyle name="Title 4" xfId="305" xr:uid="{00000000-0005-0000-0000-0000A5010000}"/>
    <cellStyle name="Title 5" xfId="423" xr:uid="{00000000-0005-0000-0000-0000A6010000}"/>
    <cellStyle name="Total 2" xfId="70" xr:uid="{00000000-0005-0000-0000-0000A7010000}"/>
    <cellStyle name="Total 3" xfId="306" xr:uid="{00000000-0005-0000-0000-0000A8010000}"/>
    <cellStyle name="Total 4" xfId="307" xr:uid="{00000000-0005-0000-0000-0000A9010000}"/>
    <cellStyle name="Total 5" xfId="424" xr:uid="{00000000-0005-0000-0000-0000AA010000}"/>
    <cellStyle name="Warning Text 2" xfId="71" xr:uid="{00000000-0005-0000-0000-0000AB010000}"/>
    <cellStyle name="Warning Text 3" xfId="308" xr:uid="{00000000-0005-0000-0000-0000AC010000}"/>
    <cellStyle name="Warning Text 4" xfId="309" xr:uid="{00000000-0005-0000-0000-0000AD010000}"/>
    <cellStyle name="Warning Text 5" xfId="425" xr:uid="{00000000-0005-0000-0000-0000AE010000}"/>
    <cellStyle name="표준_BS(수정후200602)" xfId="310" xr:uid="{00000000-0005-0000-0000-0000AF010000}"/>
  </cellStyles>
  <dxfs count="0"/>
  <tableStyles count="0" defaultTableStyle="TableStyleMedium2" defaultPivotStyle="PivotStyleLight16"/>
  <colors>
    <mruColors>
      <color rgb="FF96CAC4"/>
      <color rgb="FF404040"/>
      <color rgb="FFD4C029"/>
      <color rgb="FF15C029"/>
      <color rgb="FF006E59"/>
      <color rgb="FFC00000"/>
      <color rgb="FFCE8E8D"/>
      <color rgb="FFC0504D"/>
      <color rgb="FF206E63"/>
      <color rgb="FFD2C4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1.xml"/><Relationship Id="rId18" Type="http://schemas.openxmlformats.org/officeDocument/2006/relationships/worksheet" Target="worksheets/sheet14.xml"/><Relationship Id="rId26" Type="http://schemas.openxmlformats.org/officeDocument/2006/relationships/worksheet" Target="worksheets/sheet19.xml"/><Relationship Id="rId39" Type="http://schemas.openxmlformats.org/officeDocument/2006/relationships/worksheet" Target="worksheets/sheet28.xml"/><Relationship Id="rId21" Type="http://schemas.openxmlformats.org/officeDocument/2006/relationships/chartsheet" Target="chartsheets/sheet5.xml"/><Relationship Id="rId34" Type="http://schemas.openxmlformats.org/officeDocument/2006/relationships/worksheet" Target="worksheets/sheet24.xml"/><Relationship Id="rId42" Type="http://schemas.openxmlformats.org/officeDocument/2006/relationships/worksheet" Target="worksheets/sheet30.xml"/><Relationship Id="rId47" Type="http://schemas.openxmlformats.org/officeDocument/2006/relationships/chartsheet" Target="chartsheets/sheet13.xml"/><Relationship Id="rId50" Type="http://schemas.openxmlformats.org/officeDocument/2006/relationships/worksheet" Target="worksheets/sheet36.xml"/><Relationship Id="rId55" Type="http://schemas.openxmlformats.org/officeDocument/2006/relationships/calcChain" Target="calcChain.xml"/><Relationship Id="rId7" Type="http://schemas.openxmlformats.org/officeDocument/2006/relationships/worksheet" Target="worksheets/sheet6.xml"/><Relationship Id="rId2" Type="http://schemas.openxmlformats.org/officeDocument/2006/relationships/worksheet" Target="worksheets/sheet2.xml"/><Relationship Id="rId16" Type="http://schemas.openxmlformats.org/officeDocument/2006/relationships/worksheet" Target="worksheets/sheet13.xml"/><Relationship Id="rId29" Type="http://schemas.openxmlformats.org/officeDocument/2006/relationships/chartsheet" Target="chartsheets/sheet9.xml"/><Relationship Id="rId11" Type="http://schemas.openxmlformats.org/officeDocument/2006/relationships/worksheet" Target="worksheets/sheet9.xml"/><Relationship Id="rId24" Type="http://schemas.openxmlformats.org/officeDocument/2006/relationships/worksheet" Target="worksheets/sheet18.xml"/><Relationship Id="rId32" Type="http://schemas.openxmlformats.org/officeDocument/2006/relationships/worksheet" Target="worksheets/sheet22.xml"/><Relationship Id="rId37" Type="http://schemas.openxmlformats.org/officeDocument/2006/relationships/worksheet" Target="worksheets/sheet27.xml"/><Relationship Id="rId40" Type="http://schemas.openxmlformats.org/officeDocument/2006/relationships/chartsheet" Target="chartsheets/sheet12.xml"/><Relationship Id="rId45" Type="http://schemas.openxmlformats.org/officeDocument/2006/relationships/worksheet" Target="worksheets/sheet33.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4.xml"/><Relationship Id="rId19" Type="http://schemas.openxmlformats.org/officeDocument/2006/relationships/worksheet" Target="worksheets/sheet15.xml"/><Relationship Id="rId4" Type="http://schemas.openxmlformats.org/officeDocument/2006/relationships/chartsheet" Target="chartsheets/sheet1.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worksheet" Target="worksheets/sheet17.xml"/><Relationship Id="rId27" Type="http://schemas.openxmlformats.org/officeDocument/2006/relationships/chartsheet" Target="chartsheets/sheet8.xml"/><Relationship Id="rId30" Type="http://schemas.openxmlformats.org/officeDocument/2006/relationships/worksheet" Target="worksheets/sheet21.xml"/><Relationship Id="rId35" Type="http://schemas.openxmlformats.org/officeDocument/2006/relationships/worksheet" Target="worksheets/sheet25.xml"/><Relationship Id="rId43" Type="http://schemas.openxmlformats.org/officeDocument/2006/relationships/worksheet" Target="worksheets/sheet31.xml"/><Relationship Id="rId48" Type="http://schemas.openxmlformats.org/officeDocument/2006/relationships/worksheet" Target="worksheets/sheet35.xml"/><Relationship Id="rId56" Type="http://schemas.openxmlformats.org/officeDocument/2006/relationships/customXml" Target="../customXml/item1.xml"/><Relationship Id="rId8" Type="http://schemas.openxmlformats.org/officeDocument/2006/relationships/chartsheet" Target="chartsheets/sheet2.xml"/><Relationship Id="rId51" Type="http://schemas.openxmlformats.org/officeDocument/2006/relationships/worksheet" Target="worksheets/sheet37.xml"/><Relationship Id="rId3" Type="http://schemas.openxmlformats.org/officeDocument/2006/relationships/worksheet" Target="worksheets/sheet3.xml"/><Relationship Id="rId12" Type="http://schemas.openxmlformats.org/officeDocument/2006/relationships/worksheet" Target="worksheets/sheet10.xml"/><Relationship Id="rId17" Type="http://schemas.openxmlformats.org/officeDocument/2006/relationships/chartsheet" Target="chartsheets/sheet4.xml"/><Relationship Id="rId25" Type="http://schemas.openxmlformats.org/officeDocument/2006/relationships/chartsheet" Target="chartsheets/sheet7.xml"/><Relationship Id="rId33" Type="http://schemas.openxmlformats.org/officeDocument/2006/relationships/worksheet" Target="worksheets/sheet23.xml"/><Relationship Id="rId38" Type="http://schemas.openxmlformats.org/officeDocument/2006/relationships/chartsheet" Target="chartsheets/sheet11.xml"/><Relationship Id="rId46" Type="http://schemas.openxmlformats.org/officeDocument/2006/relationships/worksheet" Target="worksheets/sheet34.xml"/><Relationship Id="rId20" Type="http://schemas.openxmlformats.org/officeDocument/2006/relationships/worksheet" Target="worksheets/sheet16.xml"/><Relationship Id="rId41" Type="http://schemas.openxmlformats.org/officeDocument/2006/relationships/worksheet" Target="worksheets/sheet29.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5.xml"/><Relationship Id="rId15" Type="http://schemas.openxmlformats.org/officeDocument/2006/relationships/chartsheet" Target="chartsheets/sheet3.xml"/><Relationship Id="rId23" Type="http://schemas.openxmlformats.org/officeDocument/2006/relationships/chartsheet" Target="chartsheets/sheet6.xml"/><Relationship Id="rId28" Type="http://schemas.openxmlformats.org/officeDocument/2006/relationships/worksheet" Target="worksheets/sheet20.xml"/><Relationship Id="rId36" Type="http://schemas.openxmlformats.org/officeDocument/2006/relationships/worksheet" Target="worksheets/sheet26.xml"/><Relationship Id="rId49" Type="http://schemas.openxmlformats.org/officeDocument/2006/relationships/chartsheet" Target="chartsheets/sheet14.xml"/><Relationship Id="rId57" Type="http://schemas.openxmlformats.org/officeDocument/2006/relationships/customXml" Target="../customXml/item2.xml"/><Relationship Id="rId10" Type="http://schemas.openxmlformats.org/officeDocument/2006/relationships/worksheet" Target="worksheets/sheet8.xml"/><Relationship Id="rId31" Type="http://schemas.openxmlformats.org/officeDocument/2006/relationships/chartsheet" Target="chartsheets/sheet10.xml"/><Relationship Id="rId44" Type="http://schemas.openxmlformats.org/officeDocument/2006/relationships/worksheet" Target="worksheets/sheet32.xml"/><Relationship Id="rId52"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1.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2.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3.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4.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solidFill>
                  <a:srgbClr val="006E59"/>
                </a:solidFill>
                <a:latin typeface="Heuristica" panose="02020603050705020204" pitchFamily="18" charset="0"/>
              </a:defRPr>
            </a:pPr>
            <a:r>
              <a:rPr lang="en-US" sz="2000">
                <a:solidFill>
                  <a:srgbClr val="006E59"/>
                </a:solidFill>
                <a:latin typeface="Heuristica" panose="02020603050705020204" pitchFamily="18" charset="0"/>
              </a:rPr>
              <a:t>Chart 1.1 : </a:t>
            </a:r>
            <a:r>
              <a:rPr lang="en-US" sz="2000">
                <a:solidFill>
                  <a:srgbClr val="D4C029"/>
                </a:solidFill>
                <a:latin typeface="Heuristica" panose="02020603050705020204" pitchFamily="18" charset="0"/>
              </a:rPr>
              <a:t>Currency in Circulation</a:t>
            </a:r>
          </a:p>
        </c:rich>
      </c:tx>
      <c:layout>
        <c:manualLayout>
          <c:xMode val="edge"/>
          <c:yMode val="edge"/>
          <c:x val="0.29186297827141111"/>
          <c:y val="1.3759166467827886E-2"/>
        </c:manualLayout>
      </c:layout>
      <c:overlay val="0"/>
    </c:title>
    <c:autoTitleDeleted val="0"/>
    <c:plotArea>
      <c:layout>
        <c:manualLayout>
          <c:layoutTarget val="inner"/>
          <c:xMode val="edge"/>
          <c:yMode val="edge"/>
          <c:x val="8.7145842473503127E-2"/>
          <c:y val="7.4086057424640098E-2"/>
          <c:w val="0.89437673594829115"/>
          <c:h val="0.7464266284896206"/>
        </c:manualLayout>
      </c:layout>
      <c:lineChart>
        <c:grouping val="standard"/>
        <c:varyColors val="0"/>
        <c:ser>
          <c:idx val="0"/>
          <c:order val="0"/>
          <c:tx>
            <c:v>Currency in Circulation</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0845-4103-B704-C4DF73BEFAB5}"/>
                </c:ext>
              </c:extLst>
            </c:dLbl>
            <c:dLbl>
              <c:idx val="1"/>
              <c:delete val="1"/>
              <c:extLst>
                <c:ext xmlns:c15="http://schemas.microsoft.com/office/drawing/2012/chart" uri="{CE6537A1-D6FC-4f65-9D91-7224C49458BB}"/>
                <c:ext xmlns:c16="http://schemas.microsoft.com/office/drawing/2014/chart" uri="{C3380CC4-5D6E-409C-BE32-E72D297353CC}">
                  <c16:uniqueId val="{00000001-0845-4103-B704-C4DF73BEFAB5}"/>
                </c:ext>
              </c:extLst>
            </c:dLbl>
            <c:dLbl>
              <c:idx val="2"/>
              <c:delete val="1"/>
              <c:extLst>
                <c:ext xmlns:c15="http://schemas.microsoft.com/office/drawing/2012/chart" uri="{CE6537A1-D6FC-4f65-9D91-7224C49458BB}"/>
                <c:ext xmlns:c16="http://schemas.microsoft.com/office/drawing/2014/chart" uri="{C3380CC4-5D6E-409C-BE32-E72D297353CC}">
                  <c16:uniqueId val="{00000002-0845-4103-B704-C4DF73BEFAB5}"/>
                </c:ext>
              </c:extLst>
            </c:dLbl>
            <c:dLbl>
              <c:idx val="3"/>
              <c:delete val="1"/>
              <c:extLst>
                <c:ext xmlns:c15="http://schemas.microsoft.com/office/drawing/2012/chart" uri="{CE6537A1-D6FC-4f65-9D91-7224C49458BB}"/>
                <c:ext xmlns:c16="http://schemas.microsoft.com/office/drawing/2014/chart" uri="{C3380CC4-5D6E-409C-BE32-E72D297353CC}">
                  <c16:uniqueId val="{00000003-0845-4103-B704-C4DF73BEFAB5}"/>
                </c:ext>
              </c:extLst>
            </c:dLbl>
            <c:dLbl>
              <c:idx val="4"/>
              <c:delete val="1"/>
              <c:extLst>
                <c:ext xmlns:c15="http://schemas.microsoft.com/office/drawing/2012/chart" uri="{CE6537A1-D6FC-4f65-9D91-7224C49458BB}"/>
                <c:ext xmlns:c16="http://schemas.microsoft.com/office/drawing/2014/chart" uri="{C3380CC4-5D6E-409C-BE32-E72D297353CC}">
                  <c16:uniqueId val="{00000004-0845-4103-B704-C4DF73BEFAB5}"/>
                </c:ext>
              </c:extLst>
            </c:dLbl>
            <c:dLbl>
              <c:idx val="5"/>
              <c:delete val="1"/>
              <c:extLst>
                <c:ext xmlns:c15="http://schemas.microsoft.com/office/drawing/2012/chart" uri="{CE6537A1-D6FC-4f65-9D91-7224C49458BB}"/>
                <c:ext xmlns:c16="http://schemas.microsoft.com/office/drawing/2014/chart" uri="{C3380CC4-5D6E-409C-BE32-E72D297353CC}">
                  <c16:uniqueId val="{00000005-0845-4103-B704-C4DF73BEFAB5}"/>
                </c:ext>
              </c:extLst>
            </c:dLbl>
            <c:dLbl>
              <c:idx val="6"/>
              <c:delete val="1"/>
              <c:extLst>
                <c:ext xmlns:c15="http://schemas.microsoft.com/office/drawing/2012/chart" uri="{CE6537A1-D6FC-4f65-9D91-7224C49458BB}"/>
                <c:ext xmlns:c16="http://schemas.microsoft.com/office/drawing/2014/chart" uri="{C3380CC4-5D6E-409C-BE32-E72D297353CC}">
                  <c16:uniqueId val="{00000006-0845-4103-B704-C4DF73BEFAB5}"/>
                </c:ext>
              </c:extLst>
            </c:dLbl>
            <c:dLbl>
              <c:idx val="7"/>
              <c:delete val="1"/>
              <c:extLst>
                <c:ext xmlns:c15="http://schemas.microsoft.com/office/drawing/2012/chart" uri="{CE6537A1-D6FC-4f65-9D91-7224C49458BB}"/>
                <c:ext xmlns:c16="http://schemas.microsoft.com/office/drawing/2014/chart" uri="{C3380CC4-5D6E-409C-BE32-E72D297353CC}">
                  <c16:uniqueId val="{00000007-0845-4103-B704-C4DF73BEFAB5}"/>
                </c:ext>
              </c:extLst>
            </c:dLbl>
            <c:dLbl>
              <c:idx val="8"/>
              <c:delete val="1"/>
              <c:extLst>
                <c:ext xmlns:c15="http://schemas.microsoft.com/office/drawing/2012/chart" uri="{CE6537A1-D6FC-4f65-9D91-7224C49458BB}"/>
                <c:ext xmlns:c16="http://schemas.microsoft.com/office/drawing/2014/chart" uri="{C3380CC4-5D6E-409C-BE32-E72D297353CC}">
                  <c16:uniqueId val="{00000008-0845-4103-B704-C4DF73BEFAB5}"/>
                </c:ext>
              </c:extLst>
            </c:dLbl>
            <c:dLbl>
              <c:idx val="9"/>
              <c:delete val="1"/>
              <c:extLst>
                <c:ext xmlns:c15="http://schemas.microsoft.com/office/drawing/2012/chart" uri="{CE6537A1-D6FC-4f65-9D91-7224C49458BB}"/>
                <c:ext xmlns:c16="http://schemas.microsoft.com/office/drawing/2014/chart" uri="{C3380CC4-5D6E-409C-BE32-E72D297353CC}">
                  <c16:uniqueId val="{00000009-0845-4103-B704-C4DF73BEFAB5}"/>
                </c:ext>
              </c:extLst>
            </c:dLbl>
            <c:dLbl>
              <c:idx val="10"/>
              <c:delete val="1"/>
              <c:extLst>
                <c:ext xmlns:c15="http://schemas.microsoft.com/office/drawing/2012/chart" uri="{CE6537A1-D6FC-4f65-9D91-7224C49458BB}"/>
                <c:ext xmlns:c16="http://schemas.microsoft.com/office/drawing/2014/chart" uri="{C3380CC4-5D6E-409C-BE32-E72D297353CC}">
                  <c16:uniqueId val="{0000000A-0845-4103-B704-C4DF73BEFAB5}"/>
                </c:ext>
              </c:extLst>
            </c:dLbl>
            <c:dLbl>
              <c:idx val="11"/>
              <c:delete val="1"/>
              <c:extLst>
                <c:ext xmlns:c15="http://schemas.microsoft.com/office/drawing/2012/chart" uri="{CE6537A1-D6FC-4f65-9D91-7224C49458BB}"/>
                <c:ext xmlns:c16="http://schemas.microsoft.com/office/drawing/2014/chart" uri="{C3380CC4-5D6E-409C-BE32-E72D297353CC}">
                  <c16:uniqueId val="{0000000B-0845-4103-B704-C4DF73BEFAB5}"/>
                </c:ext>
              </c:extLst>
            </c:dLbl>
            <c:dLbl>
              <c:idx val="12"/>
              <c:delete val="1"/>
              <c:extLst>
                <c:ext xmlns:c15="http://schemas.microsoft.com/office/drawing/2012/chart" uri="{CE6537A1-D6FC-4f65-9D91-7224C49458BB}"/>
                <c:ext xmlns:c16="http://schemas.microsoft.com/office/drawing/2014/chart" uri="{C3380CC4-5D6E-409C-BE32-E72D297353CC}">
                  <c16:uniqueId val="{0000000C-0845-4103-B704-C4DF73BEFAB5}"/>
                </c:ext>
              </c:extLst>
            </c:dLbl>
            <c:dLbl>
              <c:idx val="13"/>
              <c:delete val="1"/>
              <c:extLst>
                <c:ext xmlns:c15="http://schemas.microsoft.com/office/drawing/2012/chart" uri="{CE6537A1-D6FC-4f65-9D91-7224C49458BB}"/>
                <c:ext xmlns:c16="http://schemas.microsoft.com/office/drawing/2014/chart" uri="{C3380CC4-5D6E-409C-BE32-E72D297353CC}">
                  <c16:uniqueId val="{0000000D-0845-4103-B704-C4DF73BEFAB5}"/>
                </c:ext>
              </c:extLst>
            </c:dLbl>
            <c:dLbl>
              <c:idx val="14"/>
              <c:delete val="1"/>
              <c:extLst>
                <c:ext xmlns:c15="http://schemas.microsoft.com/office/drawing/2012/chart" uri="{CE6537A1-D6FC-4f65-9D91-7224C49458BB}"/>
                <c:ext xmlns:c16="http://schemas.microsoft.com/office/drawing/2014/chart" uri="{C3380CC4-5D6E-409C-BE32-E72D297353CC}">
                  <c16:uniqueId val="{0000000E-0845-4103-B704-C4DF73BEFAB5}"/>
                </c:ext>
              </c:extLst>
            </c:dLbl>
            <c:dLbl>
              <c:idx val="15"/>
              <c:delete val="1"/>
              <c:extLst>
                <c:ext xmlns:c15="http://schemas.microsoft.com/office/drawing/2012/chart" uri="{CE6537A1-D6FC-4f65-9D91-7224C49458BB}"/>
                <c:ext xmlns:c16="http://schemas.microsoft.com/office/drawing/2014/chart" uri="{C3380CC4-5D6E-409C-BE32-E72D297353CC}">
                  <c16:uniqueId val="{0000000F-0845-4103-B704-C4DF73BEFAB5}"/>
                </c:ext>
              </c:extLst>
            </c:dLbl>
            <c:dLbl>
              <c:idx val="16"/>
              <c:delete val="1"/>
              <c:extLst>
                <c:ext xmlns:c15="http://schemas.microsoft.com/office/drawing/2012/chart" uri="{CE6537A1-D6FC-4f65-9D91-7224C49458BB}"/>
                <c:ext xmlns:c16="http://schemas.microsoft.com/office/drawing/2014/chart" uri="{C3380CC4-5D6E-409C-BE32-E72D297353CC}">
                  <c16:uniqueId val="{00000010-0845-4103-B704-C4DF73BEFAB5}"/>
                </c:ext>
              </c:extLst>
            </c:dLbl>
            <c:dLbl>
              <c:idx val="17"/>
              <c:delete val="1"/>
              <c:extLst>
                <c:ext xmlns:c15="http://schemas.microsoft.com/office/drawing/2012/chart" uri="{CE6537A1-D6FC-4f65-9D91-7224C49458BB}"/>
                <c:ext xmlns:c16="http://schemas.microsoft.com/office/drawing/2014/chart" uri="{C3380CC4-5D6E-409C-BE32-E72D297353CC}">
                  <c16:uniqueId val="{00000011-0845-4103-B704-C4DF73BEFAB5}"/>
                </c:ext>
              </c:extLst>
            </c:dLbl>
            <c:dLbl>
              <c:idx val="18"/>
              <c:delete val="1"/>
              <c:extLst>
                <c:ext xmlns:c15="http://schemas.microsoft.com/office/drawing/2012/chart" uri="{CE6537A1-D6FC-4f65-9D91-7224C49458BB}"/>
                <c:ext xmlns:c16="http://schemas.microsoft.com/office/drawing/2014/chart" uri="{C3380CC4-5D6E-409C-BE32-E72D297353CC}">
                  <c16:uniqueId val="{00000012-0845-4103-B704-C4DF73BEFAB5}"/>
                </c:ext>
              </c:extLst>
            </c:dLbl>
            <c:dLbl>
              <c:idx val="19"/>
              <c:delete val="1"/>
              <c:extLst>
                <c:ext xmlns:c15="http://schemas.microsoft.com/office/drawing/2012/chart" uri="{CE6537A1-D6FC-4f65-9D91-7224C49458BB}"/>
                <c:ext xmlns:c16="http://schemas.microsoft.com/office/drawing/2014/chart" uri="{C3380CC4-5D6E-409C-BE32-E72D297353CC}">
                  <c16:uniqueId val="{00000013-0845-4103-B704-C4DF73BEFAB5}"/>
                </c:ext>
              </c:extLst>
            </c:dLbl>
            <c:dLbl>
              <c:idx val="20"/>
              <c:delete val="1"/>
              <c:extLst>
                <c:ext xmlns:c15="http://schemas.microsoft.com/office/drawing/2012/chart" uri="{CE6537A1-D6FC-4f65-9D91-7224C49458BB}"/>
                <c:ext xmlns:c16="http://schemas.microsoft.com/office/drawing/2014/chart" uri="{C3380CC4-5D6E-409C-BE32-E72D297353CC}">
                  <c16:uniqueId val="{00000014-0845-4103-B704-C4DF73BEFAB5}"/>
                </c:ext>
              </c:extLst>
            </c:dLbl>
            <c:dLbl>
              <c:idx val="21"/>
              <c:delete val="1"/>
              <c:extLst>
                <c:ext xmlns:c15="http://schemas.microsoft.com/office/drawing/2012/chart" uri="{CE6537A1-D6FC-4f65-9D91-7224C49458BB}"/>
                <c:ext xmlns:c16="http://schemas.microsoft.com/office/drawing/2014/chart" uri="{C3380CC4-5D6E-409C-BE32-E72D297353CC}">
                  <c16:uniqueId val="{00000015-0845-4103-B704-C4DF73BEFAB5}"/>
                </c:ext>
              </c:extLst>
            </c:dLbl>
            <c:dLbl>
              <c:idx val="22"/>
              <c:delete val="1"/>
              <c:extLst>
                <c:ext xmlns:c15="http://schemas.microsoft.com/office/drawing/2012/chart" uri="{CE6537A1-D6FC-4f65-9D91-7224C49458BB}"/>
                <c:ext xmlns:c16="http://schemas.microsoft.com/office/drawing/2014/chart" uri="{C3380CC4-5D6E-409C-BE32-E72D297353CC}">
                  <c16:uniqueId val="{00000016-0845-4103-B704-C4DF73BEFAB5}"/>
                </c:ext>
              </c:extLst>
            </c:dLbl>
            <c:dLbl>
              <c:idx val="23"/>
              <c:delete val="1"/>
              <c:extLst>
                <c:ext xmlns:c15="http://schemas.microsoft.com/office/drawing/2012/chart" uri="{CE6537A1-D6FC-4f65-9D91-7224C49458BB}"/>
                <c:ext xmlns:c16="http://schemas.microsoft.com/office/drawing/2014/chart" uri="{C3380CC4-5D6E-409C-BE32-E72D297353CC}">
                  <c16:uniqueId val="{00000017-0845-4103-B704-C4DF73BEFAB5}"/>
                </c:ext>
              </c:extLst>
            </c:dLbl>
            <c:dLbl>
              <c:idx val="24"/>
              <c:delete val="1"/>
              <c:extLst>
                <c:ext xmlns:c15="http://schemas.microsoft.com/office/drawing/2012/chart" uri="{CE6537A1-D6FC-4f65-9D91-7224C49458BB}"/>
                <c:ext xmlns:c16="http://schemas.microsoft.com/office/drawing/2014/chart" uri="{C3380CC4-5D6E-409C-BE32-E72D297353CC}">
                  <c16:uniqueId val="{00000018-0845-4103-B704-C4DF73BEFAB5}"/>
                </c:ext>
              </c:extLst>
            </c:dLbl>
            <c:dLbl>
              <c:idx val="25"/>
              <c:delete val="1"/>
              <c:extLst>
                <c:ext xmlns:c15="http://schemas.microsoft.com/office/drawing/2012/chart" uri="{CE6537A1-D6FC-4f65-9D91-7224C49458BB}"/>
                <c:ext xmlns:c16="http://schemas.microsoft.com/office/drawing/2014/chart" uri="{C3380CC4-5D6E-409C-BE32-E72D297353CC}">
                  <c16:uniqueId val="{00000019-0845-4103-B704-C4DF73BEFAB5}"/>
                </c:ext>
              </c:extLst>
            </c:dLbl>
            <c:dLbl>
              <c:idx val="26"/>
              <c:delete val="1"/>
              <c:extLst>
                <c:ext xmlns:c15="http://schemas.microsoft.com/office/drawing/2012/chart" uri="{CE6537A1-D6FC-4f65-9D91-7224C49458BB}"/>
                <c:ext xmlns:c16="http://schemas.microsoft.com/office/drawing/2014/chart" uri="{C3380CC4-5D6E-409C-BE32-E72D297353CC}">
                  <c16:uniqueId val="{0000001A-0845-4103-B704-C4DF73BEFAB5}"/>
                </c:ext>
              </c:extLst>
            </c:dLbl>
            <c:dLbl>
              <c:idx val="27"/>
              <c:delete val="1"/>
              <c:extLst>
                <c:ext xmlns:c15="http://schemas.microsoft.com/office/drawing/2012/chart" uri="{CE6537A1-D6FC-4f65-9D91-7224C49458BB}"/>
                <c:ext xmlns:c16="http://schemas.microsoft.com/office/drawing/2014/chart" uri="{C3380CC4-5D6E-409C-BE32-E72D297353CC}">
                  <c16:uniqueId val="{0000001B-0845-4103-B704-C4DF73BEFAB5}"/>
                </c:ext>
              </c:extLst>
            </c:dLbl>
            <c:dLbl>
              <c:idx val="28"/>
              <c:delete val="1"/>
              <c:extLst>
                <c:ext xmlns:c15="http://schemas.microsoft.com/office/drawing/2012/chart" uri="{CE6537A1-D6FC-4f65-9D91-7224C49458BB}"/>
                <c:ext xmlns:c16="http://schemas.microsoft.com/office/drawing/2014/chart" uri="{C3380CC4-5D6E-409C-BE32-E72D297353CC}">
                  <c16:uniqueId val="{0000001C-0845-4103-B704-C4DF73BEFAB5}"/>
                </c:ext>
              </c:extLst>
            </c:dLbl>
            <c:dLbl>
              <c:idx val="29"/>
              <c:delete val="1"/>
              <c:extLst>
                <c:ext xmlns:c15="http://schemas.microsoft.com/office/drawing/2012/chart" uri="{CE6537A1-D6FC-4f65-9D91-7224C49458BB}"/>
                <c:ext xmlns:c16="http://schemas.microsoft.com/office/drawing/2014/chart" uri="{C3380CC4-5D6E-409C-BE32-E72D297353CC}">
                  <c16:uniqueId val="{0000001D-0845-4103-B704-C4DF73BEFAB5}"/>
                </c:ext>
              </c:extLst>
            </c:dLbl>
            <c:dLbl>
              <c:idx val="30"/>
              <c:delete val="1"/>
              <c:extLst>
                <c:ext xmlns:c15="http://schemas.microsoft.com/office/drawing/2012/chart" uri="{CE6537A1-D6FC-4f65-9D91-7224C49458BB}"/>
                <c:ext xmlns:c16="http://schemas.microsoft.com/office/drawing/2014/chart" uri="{C3380CC4-5D6E-409C-BE32-E72D297353CC}">
                  <c16:uniqueId val="{0000001E-0845-4103-B704-C4DF73BEFAB5}"/>
                </c:ext>
              </c:extLst>
            </c:dLbl>
            <c:dLbl>
              <c:idx val="31"/>
              <c:delete val="1"/>
              <c:extLst>
                <c:ext xmlns:c15="http://schemas.microsoft.com/office/drawing/2012/chart" uri="{CE6537A1-D6FC-4f65-9D91-7224C49458BB}"/>
                <c:ext xmlns:c16="http://schemas.microsoft.com/office/drawing/2014/chart" uri="{C3380CC4-5D6E-409C-BE32-E72D297353CC}">
                  <c16:uniqueId val="{0000001F-0845-4103-B704-C4DF73BEFAB5}"/>
                </c:ext>
              </c:extLst>
            </c:dLbl>
            <c:dLbl>
              <c:idx val="32"/>
              <c:delete val="1"/>
              <c:extLst>
                <c:ext xmlns:c15="http://schemas.microsoft.com/office/drawing/2012/chart" uri="{CE6537A1-D6FC-4f65-9D91-7224C49458BB}"/>
                <c:ext xmlns:c16="http://schemas.microsoft.com/office/drawing/2014/chart" uri="{C3380CC4-5D6E-409C-BE32-E72D297353CC}">
                  <c16:uniqueId val="{00000020-0845-4103-B704-C4DF73BEFAB5}"/>
                </c:ext>
              </c:extLst>
            </c:dLbl>
            <c:dLbl>
              <c:idx val="33"/>
              <c:delete val="1"/>
              <c:extLst>
                <c:ext xmlns:c15="http://schemas.microsoft.com/office/drawing/2012/chart" uri="{CE6537A1-D6FC-4f65-9D91-7224C49458BB}"/>
                <c:ext xmlns:c16="http://schemas.microsoft.com/office/drawing/2014/chart" uri="{C3380CC4-5D6E-409C-BE32-E72D297353CC}">
                  <c16:uniqueId val="{00000021-0845-4103-B704-C4DF73BEFAB5}"/>
                </c:ext>
              </c:extLst>
            </c:dLbl>
            <c:dLbl>
              <c:idx val="34"/>
              <c:delete val="1"/>
              <c:extLst>
                <c:ext xmlns:c15="http://schemas.microsoft.com/office/drawing/2012/chart" uri="{CE6537A1-D6FC-4f65-9D91-7224C49458BB}"/>
                <c:ext xmlns:c16="http://schemas.microsoft.com/office/drawing/2014/chart" uri="{C3380CC4-5D6E-409C-BE32-E72D297353CC}">
                  <c16:uniqueId val="{00000022-0845-4103-B704-C4DF73BEFAB5}"/>
                </c:ext>
              </c:extLst>
            </c:dLbl>
            <c:dLbl>
              <c:idx val="35"/>
              <c:delete val="1"/>
              <c:extLst>
                <c:ext xmlns:c15="http://schemas.microsoft.com/office/drawing/2012/chart" uri="{CE6537A1-D6FC-4f65-9D91-7224C49458BB}"/>
                <c:ext xmlns:c16="http://schemas.microsoft.com/office/drawing/2014/chart" uri="{C3380CC4-5D6E-409C-BE32-E72D297353CC}">
                  <c16:uniqueId val="{00000023-0845-4103-B704-C4DF73BEFAB5}"/>
                </c:ext>
              </c:extLst>
            </c:dLbl>
            <c:dLbl>
              <c:idx val="36"/>
              <c:delete val="1"/>
              <c:extLst>
                <c:ext xmlns:c15="http://schemas.microsoft.com/office/drawing/2012/chart" uri="{CE6537A1-D6FC-4f65-9D91-7224C49458BB}"/>
                <c:ext xmlns:c16="http://schemas.microsoft.com/office/drawing/2014/chart" uri="{C3380CC4-5D6E-409C-BE32-E72D297353CC}">
                  <c16:uniqueId val="{00000030-A032-4628-9B6D-63E0B46A70CF}"/>
                </c:ext>
              </c:extLst>
            </c:dLbl>
            <c:dLbl>
              <c:idx val="37"/>
              <c:delete val="1"/>
              <c:extLst>
                <c:ext xmlns:c15="http://schemas.microsoft.com/office/drawing/2012/chart" uri="{CE6537A1-D6FC-4f65-9D91-7224C49458BB}"/>
                <c:ext xmlns:c16="http://schemas.microsoft.com/office/drawing/2014/chart" uri="{C3380CC4-5D6E-409C-BE32-E72D297353CC}">
                  <c16:uniqueId val="{00000031-A032-4628-9B6D-63E0B46A70CF}"/>
                </c:ext>
              </c:extLst>
            </c:dLbl>
            <c:dLbl>
              <c:idx val="38"/>
              <c:delete val="1"/>
              <c:extLst>
                <c:ext xmlns:c15="http://schemas.microsoft.com/office/drawing/2012/chart" uri="{CE6537A1-D6FC-4f65-9D91-7224C49458BB}"/>
                <c:ext xmlns:c16="http://schemas.microsoft.com/office/drawing/2014/chart" uri="{C3380CC4-5D6E-409C-BE32-E72D297353CC}">
                  <c16:uniqueId val="{00000032-A032-4628-9B6D-63E0B46A70CF}"/>
                </c:ext>
              </c:extLst>
            </c:dLbl>
            <c:dLbl>
              <c:idx val="39"/>
              <c:delete val="1"/>
              <c:extLst>
                <c:ext xmlns:c15="http://schemas.microsoft.com/office/drawing/2012/chart" uri="{CE6537A1-D6FC-4f65-9D91-7224C49458BB}"/>
                <c:ext xmlns:c16="http://schemas.microsoft.com/office/drawing/2014/chart" uri="{C3380CC4-5D6E-409C-BE32-E72D297353CC}">
                  <c16:uniqueId val="{00000033-A032-4628-9B6D-63E0B46A70CF}"/>
                </c:ext>
              </c:extLst>
            </c:dLbl>
            <c:dLbl>
              <c:idx val="40"/>
              <c:delete val="1"/>
              <c:extLst>
                <c:ext xmlns:c15="http://schemas.microsoft.com/office/drawing/2012/chart" uri="{CE6537A1-D6FC-4f65-9D91-7224C49458BB}"/>
                <c:ext xmlns:c16="http://schemas.microsoft.com/office/drawing/2014/chart" uri="{C3380CC4-5D6E-409C-BE32-E72D297353CC}">
                  <c16:uniqueId val="{00000034-A032-4628-9B6D-63E0B46A70CF}"/>
                </c:ext>
              </c:extLst>
            </c:dLbl>
            <c:dLbl>
              <c:idx val="41"/>
              <c:delete val="1"/>
              <c:extLst>
                <c:ext xmlns:c15="http://schemas.microsoft.com/office/drawing/2012/chart" uri="{CE6537A1-D6FC-4f65-9D91-7224C49458BB}"/>
                <c:ext xmlns:c16="http://schemas.microsoft.com/office/drawing/2014/chart" uri="{C3380CC4-5D6E-409C-BE32-E72D297353CC}">
                  <c16:uniqueId val="{00000035-A032-4628-9B6D-63E0B46A70CF}"/>
                </c:ext>
              </c:extLst>
            </c:dLbl>
            <c:dLbl>
              <c:idx val="42"/>
              <c:delete val="1"/>
              <c:extLst>
                <c:ext xmlns:c15="http://schemas.microsoft.com/office/drawing/2012/chart" uri="{CE6537A1-D6FC-4f65-9D91-7224C49458BB}"/>
                <c:ext xmlns:c16="http://schemas.microsoft.com/office/drawing/2014/chart" uri="{C3380CC4-5D6E-409C-BE32-E72D297353CC}">
                  <c16:uniqueId val="{00000036-A032-4628-9B6D-63E0B46A70CF}"/>
                </c:ext>
              </c:extLst>
            </c:dLbl>
            <c:dLbl>
              <c:idx val="43"/>
              <c:delete val="1"/>
              <c:extLst>
                <c:ext xmlns:c15="http://schemas.microsoft.com/office/drawing/2012/chart" uri="{CE6537A1-D6FC-4f65-9D91-7224C49458BB}"/>
                <c:ext xmlns:c16="http://schemas.microsoft.com/office/drawing/2014/chart" uri="{C3380CC4-5D6E-409C-BE32-E72D297353CC}">
                  <c16:uniqueId val="{00000037-A032-4628-9B6D-63E0B46A70CF}"/>
                </c:ext>
              </c:extLst>
            </c:dLbl>
            <c:dLbl>
              <c:idx val="44"/>
              <c:delete val="1"/>
              <c:extLst>
                <c:ext xmlns:c15="http://schemas.microsoft.com/office/drawing/2012/chart" uri="{CE6537A1-D6FC-4f65-9D91-7224C49458BB}"/>
                <c:ext xmlns:c16="http://schemas.microsoft.com/office/drawing/2014/chart" uri="{C3380CC4-5D6E-409C-BE32-E72D297353CC}">
                  <c16:uniqueId val="{00000038-A032-4628-9B6D-63E0B46A70CF}"/>
                </c:ext>
              </c:extLst>
            </c:dLbl>
            <c:dLbl>
              <c:idx val="45"/>
              <c:delete val="1"/>
              <c:extLst>
                <c:ext xmlns:c15="http://schemas.microsoft.com/office/drawing/2012/chart" uri="{CE6537A1-D6FC-4f65-9D91-7224C49458BB}"/>
                <c:ext xmlns:c16="http://schemas.microsoft.com/office/drawing/2014/chart" uri="{C3380CC4-5D6E-409C-BE32-E72D297353CC}">
                  <c16:uniqueId val="{00000039-A032-4628-9B6D-63E0B46A70CF}"/>
                </c:ext>
              </c:extLst>
            </c:dLbl>
            <c:dLbl>
              <c:idx val="46"/>
              <c:delete val="1"/>
              <c:extLst>
                <c:ext xmlns:c15="http://schemas.microsoft.com/office/drawing/2012/chart" uri="{CE6537A1-D6FC-4f65-9D91-7224C49458BB}"/>
                <c:ext xmlns:c16="http://schemas.microsoft.com/office/drawing/2014/chart" uri="{C3380CC4-5D6E-409C-BE32-E72D297353CC}">
                  <c16:uniqueId val="{0000003A-A032-4628-9B6D-63E0B46A70CF}"/>
                </c:ext>
              </c:extLst>
            </c:dLbl>
            <c:dLbl>
              <c:idx val="47"/>
              <c:delete val="1"/>
              <c:extLst>
                <c:ext xmlns:c15="http://schemas.microsoft.com/office/drawing/2012/chart" uri="{CE6537A1-D6FC-4f65-9D91-7224C49458BB}"/>
                <c:ext xmlns:c16="http://schemas.microsoft.com/office/drawing/2014/chart" uri="{C3380CC4-5D6E-409C-BE32-E72D297353CC}">
                  <c16:uniqueId val="{0000003B-A032-4628-9B6D-63E0B46A70CF}"/>
                </c:ext>
              </c:extLst>
            </c:dLbl>
            <c:dLbl>
              <c:idx val="48"/>
              <c:delete val="1"/>
              <c:extLst>
                <c:ext xmlns:c15="http://schemas.microsoft.com/office/drawing/2012/chart" uri="{CE6537A1-D6FC-4f65-9D91-7224C49458BB}"/>
                <c:ext xmlns:c16="http://schemas.microsoft.com/office/drawing/2014/chart" uri="{C3380CC4-5D6E-409C-BE32-E72D297353CC}">
                  <c16:uniqueId val="{0000003C-A032-4628-9B6D-63E0B46A70CF}"/>
                </c:ext>
              </c:extLst>
            </c:dLbl>
            <c:dLbl>
              <c:idx val="49"/>
              <c:delete val="1"/>
              <c:extLst>
                <c:ext xmlns:c15="http://schemas.microsoft.com/office/drawing/2012/chart" uri="{CE6537A1-D6FC-4f65-9D91-7224C49458BB}"/>
                <c:ext xmlns:c16="http://schemas.microsoft.com/office/drawing/2014/chart" uri="{C3380CC4-5D6E-409C-BE32-E72D297353CC}">
                  <c16:uniqueId val="{0000003D-A032-4628-9B6D-63E0B46A70CF}"/>
                </c:ext>
              </c:extLst>
            </c:dLbl>
            <c:dLbl>
              <c:idx val="50"/>
              <c:delete val="1"/>
              <c:extLst>
                <c:ext xmlns:c15="http://schemas.microsoft.com/office/drawing/2012/chart" uri="{CE6537A1-D6FC-4f65-9D91-7224C49458BB}"/>
                <c:ext xmlns:c16="http://schemas.microsoft.com/office/drawing/2014/chart" uri="{C3380CC4-5D6E-409C-BE32-E72D297353CC}">
                  <c16:uniqueId val="{0000003E-A032-4628-9B6D-63E0B46A70CF}"/>
                </c:ext>
              </c:extLst>
            </c:dLbl>
            <c:dLbl>
              <c:idx val="51"/>
              <c:delete val="1"/>
              <c:extLst>
                <c:ext xmlns:c15="http://schemas.microsoft.com/office/drawing/2012/chart" uri="{CE6537A1-D6FC-4f65-9D91-7224C49458BB}"/>
                <c:ext xmlns:c16="http://schemas.microsoft.com/office/drawing/2014/chart" uri="{C3380CC4-5D6E-409C-BE32-E72D297353CC}">
                  <c16:uniqueId val="{0000003F-A032-4628-9B6D-63E0B46A70CF}"/>
                </c:ext>
              </c:extLst>
            </c:dLbl>
            <c:dLbl>
              <c:idx val="52"/>
              <c:delete val="1"/>
              <c:extLst>
                <c:ext xmlns:c15="http://schemas.microsoft.com/office/drawing/2012/chart" uri="{CE6537A1-D6FC-4f65-9D91-7224C49458BB}"/>
                <c:ext xmlns:c16="http://schemas.microsoft.com/office/drawing/2014/chart" uri="{C3380CC4-5D6E-409C-BE32-E72D297353CC}">
                  <c16:uniqueId val="{00000040-A032-4628-9B6D-63E0B46A70CF}"/>
                </c:ext>
              </c:extLst>
            </c:dLbl>
            <c:dLbl>
              <c:idx val="53"/>
              <c:delete val="1"/>
              <c:extLst>
                <c:ext xmlns:c15="http://schemas.microsoft.com/office/drawing/2012/chart" uri="{CE6537A1-D6FC-4f65-9D91-7224C49458BB}"/>
                <c:ext xmlns:c16="http://schemas.microsoft.com/office/drawing/2014/chart" uri="{C3380CC4-5D6E-409C-BE32-E72D297353CC}">
                  <c16:uniqueId val="{00000041-A032-4628-9B6D-63E0B46A70CF}"/>
                </c:ext>
              </c:extLst>
            </c:dLbl>
            <c:dLbl>
              <c:idx val="54"/>
              <c:delete val="1"/>
              <c:extLst>
                <c:ext xmlns:c15="http://schemas.microsoft.com/office/drawing/2012/chart" uri="{CE6537A1-D6FC-4f65-9D91-7224C49458BB}"/>
                <c:ext xmlns:c16="http://schemas.microsoft.com/office/drawing/2014/chart" uri="{C3380CC4-5D6E-409C-BE32-E72D297353CC}">
                  <c16:uniqueId val="{0000000D-0387-42BF-A51A-629B26CE1DAB}"/>
                </c:ext>
              </c:extLst>
            </c:dLbl>
            <c:dLbl>
              <c:idx val="55"/>
              <c:delete val="1"/>
              <c:extLst>
                <c:ext xmlns:c15="http://schemas.microsoft.com/office/drawing/2012/chart" uri="{CE6537A1-D6FC-4f65-9D91-7224C49458BB}"/>
                <c:ext xmlns:c16="http://schemas.microsoft.com/office/drawing/2014/chart" uri="{C3380CC4-5D6E-409C-BE32-E72D297353CC}">
                  <c16:uniqueId val="{0000000E-0387-42BF-A51A-629B26CE1DAB}"/>
                </c:ext>
              </c:extLst>
            </c:dLbl>
            <c:dLbl>
              <c:idx val="56"/>
              <c:delete val="1"/>
              <c:extLst>
                <c:ext xmlns:c15="http://schemas.microsoft.com/office/drawing/2012/chart" uri="{CE6537A1-D6FC-4f65-9D91-7224C49458BB}"/>
                <c:ext xmlns:c16="http://schemas.microsoft.com/office/drawing/2014/chart" uri="{C3380CC4-5D6E-409C-BE32-E72D297353CC}">
                  <c16:uniqueId val="{0000000C-0387-42BF-A51A-629B26CE1DAB}"/>
                </c:ext>
              </c:extLst>
            </c:dLbl>
            <c:dLbl>
              <c:idx val="57"/>
              <c:delete val="1"/>
              <c:extLst>
                <c:ext xmlns:c15="http://schemas.microsoft.com/office/drawing/2012/chart" uri="{CE6537A1-D6FC-4f65-9D91-7224C49458BB}"/>
                <c:ext xmlns:c16="http://schemas.microsoft.com/office/drawing/2014/chart" uri="{C3380CC4-5D6E-409C-BE32-E72D297353CC}">
                  <c16:uniqueId val="{0000000C-5CE3-40AC-AF09-15D7C0D1ABCE}"/>
                </c:ext>
              </c:extLst>
            </c:dLbl>
            <c:dLbl>
              <c:idx val="58"/>
              <c:delete val="1"/>
              <c:extLst>
                <c:ext xmlns:c15="http://schemas.microsoft.com/office/drawing/2012/chart" uri="{CE6537A1-D6FC-4f65-9D91-7224C49458BB}"/>
                <c:ext xmlns:c16="http://schemas.microsoft.com/office/drawing/2014/chart" uri="{C3380CC4-5D6E-409C-BE32-E72D297353CC}">
                  <c16:uniqueId val="{0000000D-5CE3-40AC-AF09-15D7C0D1ABCE}"/>
                </c:ext>
              </c:extLst>
            </c:dLbl>
            <c:dLbl>
              <c:idx val="59"/>
              <c:layout>
                <c:manualLayout>
                  <c:x val="-4.360896236943989E-2"/>
                  <c:y val="4.319838808027784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CE3-40AC-AF09-15D7C0D1ABCE}"/>
                </c:ext>
              </c:extLst>
            </c:dLbl>
            <c:spPr>
              <a:noFill/>
              <a:ln>
                <a:noFill/>
              </a:ln>
              <a:effectLst/>
            </c:spPr>
            <c:txPr>
              <a:bodyPr wrap="square" lIns="38100" tIns="19050" rIns="38100" bIns="19050" anchor="ctr">
                <a:spAutoFit/>
              </a:bodyPr>
              <a:lstStyle/>
              <a:p>
                <a:pPr>
                  <a:defRPr sz="11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'1.1'!$A$125:$B$196</c15:sqref>
                  </c15:fullRef>
                </c:ext>
              </c:extLst>
              <c:f>'1.1'!$A$137:$B$196</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'1.1'!$C$125:$C$196</c15:sqref>
                  </c15:fullRef>
                </c:ext>
              </c:extLst>
              <c:f>'1.1'!$C$137:$C$196</c:f>
              <c:numCache>
                <c:formatCode>#,##0.00_);[Red]\(#,##0.00\)</c:formatCode>
                <c:ptCount val="60"/>
                <c:pt idx="0">
                  <c:v>1321.3801006250001</c:v>
                </c:pt>
                <c:pt idx="1">
                  <c:v>1347.8479314649999</c:v>
                </c:pt>
                <c:pt idx="2">
                  <c:v>1346.6228701150001</c:v>
                </c:pt>
                <c:pt idx="3">
                  <c:v>1364.3448971150001</c:v>
                </c:pt>
                <c:pt idx="4">
                  <c:v>1351.225440355</c:v>
                </c:pt>
                <c:pt idx="5">
                  <c:v>1351.7359267250001</c:v>
                </c:pt>
                <c:pt idx="6">
                  <c:v>1344.580702555</c:v>
                </c:pt>
                <c:pt idx="7">
                  <c:v>1363.832463255</c:v>
                </c:pt>
                <c:pt idx="8">
                  <c:v>1345.9479682250001</c:v>
                </c:pt>
                <c:pt idx="9">
                  <c:v>1366.927286805</c:v>
                </c:pt>
                <c:pt idx="10">
                  <c:v>1369.624969965</c:v>
                </c:pt>
                <c:pt idx="11">
                  <c:v>1431.435541905</c:v>
                </c:pt>
                <c:pt idx="12">
                  <c:v>1432.9780901949998</c:v>
                </c:pt>
                <c:pt idx="13">
                  <c:v>1422.238044295</c:v>
                </c:pt>
                <c:pt idx="14">
                  <c:v>1431.644997225</c:v>
                </c:pt>
                <c:pt idx="15">
                  <c:v>1439.9572021050001</c:v>
                </c:pt>
                <c:pt idx="16">
                  <c:v>1411.179791045</c:v>
                </c:pt>
                <c:pt idx="17">
                  <c:v>1401.9744384350001</c:v>
                </c:pt>
                <c:pt idx="18">
                  <c:v>1391.1984591750002</c:v>
                </c:pt>
                <c:pt idx="19">
                  <c:v>1389.3364136350001</c:v>
                </c:pt>
                <c:pt idx="20">
                  <c:v>1364.258300165</c:v>
                </c:pt>
                <c:pt idx="21">
                  <c:v>1361.627465195</c:v>
                </c:pt>
                <c:pt idx="22">
                  <c:v>1359.1085463050001</c:v>
                </c:pt>
                <c:pt idx="23">
                  <c:v>1422.272677895</c:v>
                </c:pt>
                <c:pt idx="24">
                  <c:v>1414.357200315</c:v>
                </c:pt>
                <c:pt idx="25">
                  <c:v>1378.5778343049999</c:v>
                </c:pt>
                <c:pt idx="26">
                  <c:v>1384.827322415</c:v>
                </c:pt>
                <c:pt idx="27">
                  <c:v>1429.4063015649999</c:v>
                </c:pt>
                <c:pt idx="28">
                  <c:v>1363.4736073849999</c:v>
                </c:pt>
                <c:pt idx="29">
                  <c:v>1366.772190805</c:v>
                </c:pt>
                <c:pt idx="30">
                  <c:v>1367.0751393799999</c:v>
                </c:pt>
                <c:pt idx="31">
                  <c:v>1379.8850985899999</c:v>
                </c:pt>
                <c:pt idx="32">
                  <c:v>1361.4620344999998</c:v>
                </c:pt>
                <c:pt idx="33">
                  <c:v>1375.1801129</c:v>
                </c:pt>
                <c:pt idx="34">
                  <c:v>1363.3528906199999</c:v>
                </c:pt>
                <c:pt idx="35">
                  <c:v>1417.03190675</c:v>
                </c:pt>
                <c:pt idx="36">
                  <c:v>1408.37</c:v>
                </c:pt>
                <c:pt idx="37">
                  <c:v>1401.91</c:v>
                </c:pt>
                <c:pt idx="38">
                  <c:v>1408.44</c:v>
                </c:pt>
                <c:pt idx="39">
                  <c:v>1387.4680000000001</c:v>
                </c:pt>
                <c:pt idx="40">
                  <c:v>1363.4349999999999</c:v>
                </c:pt>
                <c:pt idx="41">
                  <c:v>1353.67</c:v>
                </c:pt>
                <c:pt idx="42">
                  <c:v>1363.9189999999999</c:v>
                </c:pt>
                <c:pt idx="43">
                  <c:v>1361.0700000000002</c:v>
                </c:pt>
                <c:pt idx="44">
                  <c:v>1362.47</c:v>
                </c:pt>
                <c:pt idx="45">
                  <c:v>1353.729</c:v>
                </c:pt>
                <c:pt idx="46">
                  <c:v>1356.99</c:v>
                </c:pt>
                <c:pt idx="47">
                  <c:v>1401.44</c:v>
                </c:pt>
                <c:pt idx="48">
                  <c:v>1437.0339999999999</c:v>
                </c:pt>
                <c:pt idx="49">
                  <c:v>1391.3799999999999</c:v>
                </c:pt>
                <c:pt idx="50">
                  <c:v>1410.6799999999998</c:v>
                </c:pt>
                <c:pt idx="51">
                  <c:v>1366.9290000000001</c:v>
                </c:pt>
                <c:pt idx="52">
                  <c:v>1350.271</c:v>
                </c:pt>
                <c:pt idx="53">
                  <c:v>1342.3610000000001</c:v>
                </c:pt>
                <c:pt idx="54">
                  <c:v>1348.69</c:v>
                </c:pt>
                <c:pt idx="55">
                  <c:v>1355.34</c:v>
                </c:pt>
                <c:pt idx="56">
                  <c:v>1339.6000000000001</c:v>
                </c:pt>
                <c:pt idx="57">
                  <c:v>1349.4480000000001</c:v>
                </c:pt>
                <c:pt idx="58">
                  <c:v>1341.6669999999999</c:v>
                </c:pt>
                <c:pt idx="59">
                  <c:v>1385.58</c:v>
                </c:pt>
              </c:numCache>
            </c:numRef>
          </c:val>
          <c:smooth val="0"/>
          <c:extLst>
            <c:ext xmlns:c15="http://schemas.microsoft.com/office/drawing/2012/chart" uri="{02D57815-91ED-43cb-92C2-25804820EDAC}">
              <c15:categoryFilterExceptions>
                <c15:categoryFilterException>
                  <c15:sqref>'1.1'!$C$125</c15:sqref>
                  <c15:dLbl>
                    <c:idx val="-1"/>
                    <c:delete val="1"/>
                    <c:extLst>
                      <c:ext uri="{CE6537A1-D6FC-4f65-9D91-7224C49458BB}"/>
                      <c:ext xmlns:c16="http://schemas.microsoft.com/office/drawing/2014/chart" uri="{C3380CC4-5D6E-409C-BE32-E72D297353CC}">
                        <c16:uniqueId val="{00000000-BF0E-4F3F-8B95-757BFB42B446}"/>
                      </c:ext>
                    </c:extLst>
                  </c15:dLbl>
                </c15:categoryFilterException>
                <c15:categoryFilterException>
                  <c15:sqref>'1.1'!$C$126</c15:sqref>
                  <c15:dLbl>
                    <c:idx val="-1"/>
                    <c:delete val="1"/>
                    <c:extLst>
                      <c:ext uri="{CE6537A1-D6FC-4f65-9D91-7224C49458BB}"/>
                      <c:ext xmlns:c16="http://schemas.microsoft.com/office/drawing/2014/chart" uri="{C3380CC4-5D6E-409C-BE32-E72D297353CC}">
                        <c16:uniqueId val="{00000001-BF0E-4F3F-8B95-757BFB42B446}"/>
                      </c:ext>
                    </c:extLst>
                  </c15:dLbl>
                </c15:categoryFilterException>
                <c15:categoryFilterException>
                  <c15:sqref>'1.1'!$C$127</c15:sqref>
                  <c15:dLbl>
                    <c:idx val="-1"/>
                    <c:delete val="1"/>
                    <c:extLst>
                      <c:ext uri="{CE6537A1-D6FC-4f65-9D91-7224C49458BB}"/>
                      <c:ext xmlns:c16="http://schemas.microsoft.com/office/drawing/2014/chart" uri="{C3380CC4-5D6E-409C-BE32-E72D297353CC}">
                        <c16:uniqueId val="{00000002-BF0E-4F3F-8B95-757BFB42B446}"/>
                      </c:ext>
                    </c:extLst>
                  </c15:dLbl>
                </c15:categoryFilterException>
                <c15:categoryFilterException>
                  <c15:sqref>'1.1'!$C$128</c15:sqref>
                  <c15:dLbl>
                    <c:idx val="-1"/>
                    <c:delete val="1"/>
                    <c:extLst>
                      <c:ext uri="{CE6537A1-D6FC-4f65-9D91-7224C49458BB}"/>
                      <c:ext xmlns:c16="http://schemas.microsoft.com/office/drawing/2014/chart" uri="{C3380CC4-5D6E-409C-BE32-E72D297353CC}">
                        <c16:uniqueId val="{00000003-BF0E-4F3F-8B95-757BFB42B446}"/>
                      </c:ext>
                    </c:extLst>
                  </c15:dLbl>
                </c15:categoryFilterException>
                <c15:categoryFilterException>
                  <c15:sqref>'1.1'!$C$129</c15:sqref>
                  <c15:dLbl>
                    <c:idx val="-1"/>
                    <c:delete val="1"/>
                    <c:extLst>
                      <c:ext uri="{CE6537A1-D6FC-4f65-9D91-7224C49458BB}"/>
                      <c:ext xmlns:c16="http://schemas.microsoft.com/office/drawing/2014/chart" uri="{C3380CC4-5D6E-409C-BE32-E72D297353CC}">
                        <c16:uniqueId val="{00000004-BF0E-4F3F-8B95-757BFB42B446}"/>
                      </c:ext>
                    </c:extLst>
                  </c15:dLbl>
                </c15:categoryFilterException>
                <c15:categoryFilterException>
                  <c15:sqref>'1.1'!$C$130</c15:sqref>
                  <c15:dLbl>
                    <c:idx val="-1"/>
                    <c:delete val="1"/>
                    <c:extLst>
                      <c:ext uri="{CE6537A1-D6FC-4f65-9D91-7224C49458BB}"/>
                      <c:ext xmlns:c16="http://schemas.microsoft.com/office/drawing/2014/chart" uri="{C3380CC4-5D6E-409C-BE32-E72D297353CC}">
                        <c16:uniqueId val="{00000005-BF0E-4F3F-8B95-757BFB42B446}"/>
                      </c:ext>
                    </c:extLst>
                  </c15:dLbl>
                </c15:categoryFilterException>
                <c15:categoryFilterException>
                  <c15:sqref>'1.1'!$C$131</c15:sqref>
                  <c15:dLbl>
                    <c:idx val="-1"/>
                    <c:delete val="1"/>
                    <c:extLst>
                      <c:ext uri="{CE6537A1-D6FC-4f65-9D91-7224C49458BB}"/>
                      <c:ext xmlns:c16="http://schemas.microsoft.com/office/drawing/2014/chart" uri="{C3380CC4-5D6E-409C-BE32-E72D297353CC}">
                        <c16:uniqueId val="{00000006-BF0E-4F3F-8B95-757BFB42B446}"/>
                      </c:ext>
                    </c:extLst>
                  </c15:dLbl>
                </c15:categoryFilterException>
                <c15:categoryFilterException>
                  <c15:sqref>'1.1'!$C$132</c15:sqref>
                  <c15:dLbl>
                    <c:idx val="-1"/>
                    <c:delete val="1"/>
                    <c:extLst>
                      <c:ext uri="{CE6537A1-D6FC-4f65-9D91-7224C49458BB}"/>
                      <c:ext xmlns:c16="http://schemas.microsoft.com/office/drawing/2014/chart" uri="{C3380CC4-5D6E-409C-BE32-E72D297353CC}">
                        <c16:uniqueId val="{00000007-BF0E-4F3F-8B95-757BFB42B446}"/>
                      </c:ext>
                    </c:extLst>
                  </c15:dLbl>
                </c15:categoryFilterException>
                <c15:categoryFilterException>
                  <c15:sqref>'1.1'!$C$133</c15:sqref>
                  <c15:dLbl>
                    <c:idx val="-1"/>
                    <c:delete val="1"/>
                    <c:extLst>
                      <c:ext uri="{CE6537A1-D6FC-4f65-9D91-7224C49458BB}"/>
                      <c:ext xmlns:c16="http://schemas.microsoft.com/office/drawing/2014/chart" uri="{C3380CC4-5D6E-409C-BE32-E72D297353CC}">
                        <c16:uniqueId val="{00000008-BF0E-4F3F-8B95-757BFB42B446}"/>
                      </c:ext>
                    </c:extLst>
                  </c15:dLbl>
                </c15:categoryFilterException>
                <c15:categoryFilterException>
                  <c15:sqref>'1.1'!$C$134</c15:sqref>
                  <c15:dLbl>
                    <c:idx val="-1"/>
                    <c:delete val="1"/>
                    <c:extLst>
                      <c:ext uri="{CE6537A1-D6FC-4f65-9D91-7224C49458BB}"/>
                      <c:ext xmlns:c16="http://schemas.microsoft.com/office/drawing/2014/chart" uri="{C3380CC4-5D6E-409C-BE32-E72D297353CC}">
                        <c16:uniqueId val="{00000009-BF0E-4F3F-8B95-757BFB42B446}"/>
                      </c:ext>
                    </c:extLst>
                  </c15:dLbl>
                </c15:categoryFilterException>
                <c15:categoryFilterException>
                  <c15:sqref>'1.1'!$C$135</c15:sqref>
                  <c15:dLbl>
                    <c:idx val="-1"/>
                    <c:delete val="1"/>
                    <c:extLst>
                      <c:ext uri="{CE6537A1-D6FC-4f65-9D91-7224C49458BB}"/>
                      <c:ext xmlns:c16="http://schemas.microsoft.com/office/drawing/2014/chart" uri="{C3380CC4-5D6E-409C-BE32-E72D297353CC}">
                        <c16:uniqueId val="{0000000A-BF0E-4F3F-8B95-757BFB42B446}"/>
                      </c:ext>
                    </c:extLst>
                  </c15:dLbl>
                </c15:categoryFilterException>
                <c15:categoryFilterException>
                  <c15:sqref>'1.1'!$C$136</c15:sqref>
                  <c15:dLbl>
                    <c:idx val="-1"/>
                    <c:delete val="1"/>
                    <c:extLst>
                      <c:ext uri="{CE6537A1-D6FC-4f65-9D91-7224C49458BB}"/>
                      <c:ext xmlns:c16="http://schemas.microsoft.com/office/drawing/2014/chart" uri="{C3380CC4-5D6E-409C-BE32-E72D297353CC}">
                        <c16:uniqueId val="{0000000B-BF0E-4F3F-8B95-757BFB42B446}"/>
                      </c:ext>
                    </c:extLst>
                  </c15:dLbl>
                </c15:categoryFilterException>
              </c15:categoryFilterExceptions>
            </c:ext>
            <c:ext xmlns:c16="http://schemas.microsoft.com/office/drawing/2014/chart" uri="{C3380CC4-5D6E-409C-BE32-E72D297353CC}">
              <c16:uniqueId val="{00000045-A032-4628-9B6D-63E0B46A70CF}"/>
            </c:ext>
          </c:extLst>
        </c:ser>
        <c:dLbls>
          <c:dLblPos val="t"/>
          <c:showLegendKey val="0"/>
          <c:showVal val="1"/>
          <c:showCatName val="0"/>
          <c:showSerName val="0"/>
          <c:showPercent val="0"/>
          <c:showBubbleSize val="0"/>
        </c:dLbls>
        <c:smooth val="0"/>
        <c:axId val="477832952"/>
        <c:axId val="477832560"/>
      </c:lineChart>
      <c:catAx>
        <c:axId val="477832952"/>
        <c:scaling>
          <c:orientation val="minMax"/>
        </c:scaling>
        <c:delete val="0"/>
        <c:axPos val="b"/>
        <c:numFmt formatCode="General" sourceLinked="0"/>
        <c:majorTickMark val="none"/>
        <c:minorTickMark val="none"/>
        <c:tickLblPos val="nextTo"/>
        <c:txPr>
          <a:bodyPr/>
          <a:lstStyle/>
          <a:p>
            <a:pPr>
              <a:defRPr sz="1100" b="1">
                <a:latin typeface="Geomanist" panose="02000503000000020004" pitchFamily="50" charset="0"/>
              </a:defRPr>
            </a:pPr>
            <a:endParaRPr lang="en-US"/>
          </a:p>
        </c:txPr>
        <c:crossAx val="477832560"/>
        <c:crosses val="autoZero"/>
        <c:auto val="1"/>
        <c:lblAlgn val="ctr"/>
        <c:lblOffset val="100"/>
        <c:tickLblSkip val="1"/>
        <c:noMultiLvlLbl val="0"/>
      </c:catAx>
      <c:valAx>
        <c:axId val="477832560"/>
        <c:scaling>
          <c:orientation val="minMax"/>
          <c:min val="1100"/>
        </c:scaling>
        <c:delete val="0"/>
        <c:axPos val="l"/>
        <c:majorGridlines>
          <c:spPr>
            <a:ln>
              <a:solidFill>
                <a:schemeClr val="bg1">
                  <a:lumMod val="85000"/>
                </a:schemeClr>
              </a:solidFill>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3.8626549980372697E-3"/>
              <c:y val="0.37592969060685605"/>
            </c:manualLayout>
          </c:layout>
          <c:overlay val="0"/>
        </c:title>
        <c:numFmt formatCode="#,##0_);[Red]\(#,##0\)" sourceLinked="0"/>
        <c:majorTickMark val="none"/>
        <c:minorTickMark val="none"/>
        <c:tickLblPos val="nextTo"/>
        <c:spPr>
          <a:ln w="9525">
            <a:solidFill>
              <a:schemeClr val="bg1">
                <a:lumMod val="50000"/>
              </a:schemeClr>
            </a:solidFill>
          </a:ln>
        </c:spPr>
        <c:txPr>
          <a:bodyPr/>
          <a:lstStyle/>
          <a:p>
            <a:pPr>
              <a:defRPr sz="1100" b="1">
                <a:latin typeface="Geomanist" panose="02000503000000020004" pitchFamily="50" charset="0"/>
              </a:defRPr>
            </a:pPr>
            <a:endParaRPr lang="en-US"/>
          </a:p>
        </c:txPr>
        <c:crossAx val="477832952"/>
        <c:crosses val="autoZero"/>
        <c:crossBetween val="between"/>
      </c:valAx>
      <c:spPr>
        <a:ln w="6350">
          <a:solidFill>
            <a:schemeClr val="bg1">
              <a:lumMod val="85000"/>
            </a:schemeClr>
          </a:solidFill>
        </a:ln>
      </c:spPr>
    </c:plotArea>
    <c:legend>
      <c:legendPos val="r"/>
      <c:layout>
        <c:manualLayout>
          <c:xMode val="edge"/>
          <c:yMode val="edge"/>
          <c:x val="0.34002205186228557"/>
          <c:y val="0.9312143482064742"/>
          <c:w val="0.29846930057496479"/>
          <c:h val="4.7525172989739919E-2"/>
        </c:manualLayout>
      </c:layout>
      <c:overlay val="0"/>
      <c:txPr>
        <a:bodyPr/>
        <a:lstStyle/>
        <a:p>
          <a:pPr>
            <a:defRPr sz="1200" b="1" i="0" baseline="0">
              <a:latin typeface="Heuristica" panose="02020603050705020204" pitchFamily="18" charset="0"/>
            </a:defRPr>
          </a:pPr>
          <a:endParaRPr lang="en-US"/>
        </a:p>
      </c:txPr>
    </c:legend>
    <c:plotVisOnly val="1"/>
    <c:dispBlanksAs val="gap"/>
    <c:showDLblsOverMax val="0"/>
  </c:char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1" i="0" u="none" strike="noStrike" kern="1200" spc="0" baseline="0">
                <a:solidFill>
                  <a:sysClr val="windowText" lastClr="000000"/>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4.2: </a:t>
            </a:r>
            <a:r>
              <a:rPr lang="en-US" sz="2000" b="1">
                <a:solidFill>
                  <a:srgbClr val="D4C029"/>
                </a:solidFill>
                <a:latin typeface="Heuristica" panose="02020603050705020204" pitchFamily="18" charset="0"/>
              </a:rPr>
              <a:t>Value of Transactions by Property Type</a:t>
            </a:r>
          </a:p>
        </c:rich>
      </c:tx>
      <c:layout>
        <c:manualLayout>
          <c:xMode val="edge"/>
          <c:yMode val="edge"/>
          <c:x val="0.21825316923361118"/>
          <c:y val="1.8606060606060609E-2"/>
        </c:manualLayout>
      </c:layout>
      <c:overlay val="0"/>
      <c:spPr>
        <a:noFill/>
        <a:ln>
          <a:noFill/>
        </a:ln>
        <a:effectLst/>
      </c:spPr>
      <c:txPr>
        <a:bodyPr rot="0" spcFirstLastPara="1" vertOverflow="ellipsis" vert="horz" wrap="square" anchor="ctr" anchorCtr="1"/>
        <a:lstStyle/>
        <a:p>
          <a:pPr algn="ctr">
            <a:defRPr sz="2000" b="1" i="0" u="none" strike="noStrike" kern="1200" spc="0" baseline="0">
              <a:solidFill>
                <a:sysClr val="windowText" lastClr="000000"/>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9.2459533100884381E-2"/>
          <c:y val="9.8211761003340281E-2"/>
          <c:w val="0.89585147897568518"/>
          <c:h val="0.74861211005207895"/>
        </c:manualLayout>
      </c:layout>
      <c:barChart>
        <c:barDir val="col"/>
        <c:grouping val="stacked"/>
        <c:varyColors val="0"/>
        <c:ser>
          <c:idx val="1"/>
          <c:order val="1"/>
          <c:tx>
            <c:strRef>
              <c:f>'4.2'!$D$4</c:f>
              <c:strCache>
                <c:ptCount val="1"/>
                <c:pt idx="0">
                  <c:v>Detached</c:v>
                </c:pt>
              </c:strCache>
            </c:strRef>
          </c:tx>
          <c:spPr>
            <a:solidFill>
              <a:srgbClr val="EEE8B5"/>
            </a:solidFill>
            <a:ln>
              <a:solidFill>
                <a:srgbClr val="EEE8B5"/>
              </a:solidFill>
            </a:ln>
            <a:effectLst/>
          </c:spPr>
          <c:invertIfNegative val="0"/>
          <c:cat>
            <c:multiLvlStrRef>
              <c:f>'4.2'!$A$5:$B$48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'4.2'!$D$5:$D$48</c:f>
              <c:numCache>
                <c:formatCode>#,##0.00</c:formatCode>
                <c:ptCount val="44"/>
                <c:pt idx="0">
                  <c:v>16.085599999999999</c:v>
                </c:pt>
                <c:pt idx="1">
                  <c:v>19.827279999999998</c:v>
                </c:pt>
                <c:pt idx="2">
                  <c:v>13.59774352</c:v>
                </c:pt>
                <c:pt idx="3">
                  <c:v>5.3129999999999997</c:v>
                </c:pt>
                <c:pt idx="4">
                  <c:v>11.740523</c:v>
                </c:pt>
                <c:pt idx="5">
                  <c:v>10.179497490000001</c:v>
                </c:pt>
                <c:pt idx="6">
                  <c:v>16.423817660000001</c:v>
                </c:pt>
                <c:pt idx="7">
                  <c:v>16.223100670000001</c:v>
                </c:pt>
                <c:pt idx="8">
                  <c:v>11.22519353</c:v>
                </c:pt>
                <c:pt idx="9">
                  <c:v>13.152834519999999</c:v>
                </c:pt>
                <c:pt idx="10">
                  <c:v>15.9449649</c:v>
                </c:pt>
                <c:pt idx="11">
                  <c:v>16.859966</c:v>
                </c:pt>
                <c:pt idx="12">
                  <c:v>13.9496</c:v>
                </c:pt>
                <c:pt idx="13">
                  <c:v>12.8568</c:v>
                </c:pt>
                <c:pt idx="14">
                  <c:v>17.82</c:v>
                </c:pt>
                <c:pt idx="15">
                  <c:v>22.7</c:v>
                </c:pt>
                <c:pt idx="16">
                  <c:v>17.690000000000001</c:v>
                </c:pt>
                <c:pt idx="17">
                  <c:v>18.300650000000001</c:v>
                </c:pt>
                <c:pt idx="18">
                  <c:v>18.5</c:v>
                </c:pt>
                <c:pt idx="19">
                  <c:v>14.6</c:v>
                </c:pt>
                <c:pt idx="20">
                  <c:v>6.6502559999999997</c:v>
                </c:pt>
                <c:pt idx="21">
                  <c:v>14.082969</c:v>
                </c:pt>
                <c:pt idx="22">
                  <c:v>26.5596</c:v>
                </c:pt>
                <c:pt idx="23">
                  <c:v>21.77315372</c:v>
                </c:pt>
                <c:pt idx="24">
                  <c:v>20.283253999999999</c:v>
                </c:pt>
                <c:pt idx="25">
                  <c:v>20.581351000000002</c:v>
                </c:pt>
                <c:pt idx="26">
                  <c:v>23.689570109999998</c:v>
                </c:pt>
                <c:pt idx="27">
                  <c:v>23.089149880000001</c:v>
                </c:pt>
                <c:pt idx="28">
                  <c:v>23.186522020000002</c:v>
                </c:pt>
                <c:pt idx="29">
                  <c:v>20.359373210000001</c:v>
                </c:pt>
                <c:pt idx="30">
                  <c:v>22.806774000000001</c:v>
                </c:pt>
                <c:pt idx="31">
                  <c:v>26.70420245</c:v>
                </c:pt>
                <c:pt idx="32">
                  <c:v>21.8</c:v>
                </c:pt>
                <c:pt idx="33">
                  <c:v>20.581076939999999</c:v>
                </c:pt>
                <c:pt idx="34">
                  <c:v>17.228100000000001</c:v>
                </c:pt>
                <c:pt idx="35">
                  <c:v>24.668776999999999</c:v>
                </c:pt>
                <c:pt idx="36">
                  <c:v>12.411099999999999</c:v>
                </c:pt>
                <c:pt idx="37">
                  <c:v>22.17943</c:v>
                </c:pt>
                <c:pt idx="38">
                  <c:v>21.844532999999998</c:v>
                </c:pt>
                <c:pt idx="39">
                  <c:v>21.44717683</c:v>
                </c:pt>
                <c:pt idx="40">
                  <c:v>15</c:v>
                </c:pt>
                <c:pt idx="41">
                  <c:v>25.255859749999999</c:v>
                </c:pt>
                <c:pt idx="42">
                  <c:v>32.541099690000003</c:v>
                </c:pt>
                <c:pt idx="43">
                  <c:v>20.0684</c:v>
                </c:pt>
              </c:numCache>
            </c:numRef>
          </c:val>
          <c:extLst>
            <c:ext xmlns:c16="http://schemas.microsoft.com/office/drawing/2014/chart" uri="{C3380CC4-5D6E-409C-BE32-E72D297353CC}">
              <c16:uniqueId val="{00000000-9D49-4F68-9AE3-6B4584460A67}"/>
            </c:ext>
          </c:extLst>
        </c:ser>
        <c:ser>
          <c:idx val="2"/>
          <c:order val="2"/>
          <c:tx>
            <c:strRef>
              <c:f>'4.2'!$E$4</c:f>
              <c:strCache>
                <c:ptCount val="1"/>
                <c:pt idx="0">
                  <c:v>Semi-Detached</c:v>
                </c:pt>
              </c:strCache>
            </c:strRef>
          </c:tx>
          <c:spPr>
            <a:solidFill>
              <a:srgbClr val="D4C029"/>
            </a:solidFill>
            <a:ln>
              <a:solidFill>
                <a:srgbClr val="D4C029"/>
              </a:solidFill>
            </a:ln>
            <a:effectLst/>
          </c:spPr>
          <c:invertIfNegative val="0"/>
          <c:cat>
            <c:multiLvlStrRef>
              <c:f>'4.2'!$A$5:$B$48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'4.2'!$E$5:$E$48</c:f>
              <c:numCache>
                <c:formatCode>#,##0.00</c:formatCode>
                <c:ptCount val="44"/>
                <c:pt idx="0">
                  <c:v>7.226</c:v>
                </c:pt>
                <c:pt idx="1">
                  <c:v>9.3424999999999994</c:v>
                </c:pt>
                <c:pt idx="2">
                  <c:v>2.5830000000000002</c:v>
                </c:pt>
                <c:pt idx="3">
                  <c:v>1.615</c:v>
                </c:pt>
                <c:pt idx="4">
                  <c:v>6.7140000000000004</c:v>
                </c:pt>
                <c:pt idx="5">
                  <c:v>4.2110000000000003</c:v>
                </c:pt>
                <c:pt idx="6">
                  <c:v>6.8193630000000001</c:v>
                </c:pt>
                <c:pt idx="7">
                  <c:v>6.0391472500000001</c:v>
                </c:pt>
                <c:pt idx="8">
                  <c:v>5.0150714599999997</c:v>
                </c:pt>
                <c:pt idx="9">
                  <c:v>3.0049000000000001</c:v>
                </c:pt>
                <c:pt idx="10">
                  <c:v>2.4948999999999999</c:v>
                </c:pt>
                <c:pt idx="11">
                  <c:v>2.9348999999999998</c:v>
                </c:pt>
                <c:pt idx="12">
                  <c:v>3.818622</c:v>
                </c:pt>
                <c:pt idx="13">
                  <c:v>4.5941000000000001</c:v>
                </c:pt>
                <c:pt idx="14">
                  <c:v>5.83</c:v>
                </c:pt>
                <c:pt idx="15">
                  <c:v>4.84</c:v>
                </c:pt>
                <c:pt idx="16">
                  <c:v>5.72</c:v>
                </c:pt>
                <c:pt idx="17">
                  <c:v>6.4669999999999996</c:v>
                </c:pt>
                <c:pt idx="18">
                  <c:v>4.9569000000000001</c:v>
                </c:pt>
                <c:pt idx="19">
                  <c:v>7.2</c:v>
                </c:pt>
                <c:pt idx="20">
                  <c:v>6.7670000000000003</c:v>
                </c:pt>
                <c:pt idx="21">
                  <c:v>7.8545499999999997</c:v>
                </c:pt>
                <c:pt idx="22">
                  <c:v>8.3390000000000004</c:v>
                </c:pt>
                <c:pt idx="23">
                  <c:v>6.8855000000000004</c:v>
                </c:pt>
                <c:pt idx="24">
                  <c:v>4.5609999999999999</c:v>
                </c:pt>
                <c:pt idx="25">
                  <c:v>4.8639999999999999</c:v>
                </c:pt>
                <c:pt idx="26">
                  <c:v>7.1230000000000002</c:v>
                </c:pt>
                <c:pt idx="27">
                  <c:v>3.8559999999999999</c:v>
                </c:pt>
                <c:pt idx="28">
                  <c:v>3.9849999999999999</c:v>
                </c:pt>
                <c:pt idx="29">
                  <c:v>5.8235000000000001</c:v>
                </c:pt>
                <c:pt idx="30">
                  <c:v>5.71</c:v>
                </c:pt>
                <c:pt idx="31">
                  <c:v>4.5441000000000003</c:v>
                </c:pt>
                <c:pt idx="32">
                  <c:v>2.9</c:v>
                </c:pt>
                <c:pt idx="33">
                  <c:v>6.5819999999999999</c:v>
                </c:pt>
                <c:pt idx="34">
                  <c:v>5.28</c:v>
                </c:pt>
                <c:pt idx="35">
                  <c:v>5.2290000000000001</c:v>
                </c:pt>
                <c:pt idx="36">
                  <c:v>3.1720000000000002</c:v>
                </c:pt>
                <c:pt idx="37">
                  <c:v>6.4059999999999997</c:v>
                </c:pt>
                <c:pt idx="38">
                  <c:v>8.9280000000000008</c:v>
                </c:pt>
                <c:pt idx="39">
                  <c:v>7.6319999999999997</c:v>
                </c:pt>
                <c:pt idx="40">
                  <c:v>4.0999999999999996</c:v>
                </c:pt>
                <c:pt idx="41">
                  <c:v>5.9189999999999996</c:v>
                </c:pt>
                <c:pt idx="42">
                  <c:v>3.9685000000000001</c:v>
                </c:pt>
                <c:pt idx="43">
                  <c:v>4.8259999999999996</c:v>
                </c:pt>
              </c:numCache>
            </c:numRef>
          </c:val>
          <c:extLst>
            <c:ext xmlns:c16="http://schemas.microsoft.com/office/drawing/2014/chart" uri="{C3380CC4-5D6E-409C-BE32-E72D297353CC}">
              <c16:uniqueId val="{00000001-9D49-4F68-9AE3-6B4584460A67}"/>
            </c:ext>
          </c:extLst>
        </c:ser>
        <c:ser>
          <c:idx val="3"/>
          <c:order val="3"/>
          <c:tx>
            <c:strRef>
              <c:f>'4.2'!$F$4</c:f>
              <c:strCache>
                <c:ptCount val="1"/>
                <c:pt idx="0">
                  <c:v>Terrace</c:v>
                </c:pt>
              </c:strCache>
            </c:strRef>
          </c:tx>
          <c:spPr>
            <a:solidFill>
              <a:srgbClr val="509D93"/>
            </a:solidFill>
            <a:ln>
              <a:solidFill>
                <a:srgbClr val="509D93"/>
              </a:solidFill>
            </a:ln>
            <a:effectLst/>
          </c:spPr>
          <c:invertIfNegative val="0"/>
          <c:cat>
            <c:multiLvlStrRef>
              <c:f>'4.2'!$A$5:$B$48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'4.2'!$F$5:$F$48</c:f>
              <c:numCache>
                <c:formatCode>#,##0.00</c:formatCode>
                <c:ptCount val="44"/>
                <c:pt idx="0">
                  <c:v>6.3049999999999997</c:v>
                </c:pt>
                <c:pt idx="1">
                  <c:v>5.5592499999999996</c:v>
                </c:pt>
                <c:pt idx="2">
                  <c:v>5.43025</c:v>
                </c:pt>
                <c:pt idx="3">
                  <c:v>2.6757499999999999</c:v>
                </c:pt>
                <c:pt idx="4">
                  <c:v>5.51</c:v>
                </c:pt>
                <c:pt idx="5">
                  <c:v>4.6872600000000002</c:v>
                </c:pt>
                <c:pt idx="6">
                  <c:v>2.0059999999999998</c:v>
                </c:pt>
                <c:pt idx="7">
                  <c:v>5.6929999999999996</c:v>
                </c:pt>
                <c:pt idx="8">
                  <c:v>4.576155</c:v>
                </c:pt>
                <c:pt idx="9">
                  <c:v>2.7450000000000001</c:v>
                </c:pt>
                <c:pt idx="10">
                  <c:v>4.77135</c:v>
                </c:pt>
                <c:pt idx="11">
                  <c:v>4.3436000000000003</c:v>
                </c:pt>
                <c:pt idx="12">
                  <c:v>3.68</c:v>
                </c:pt>
                <c:pt idx="13">
                  <c:v>3.8260000000000001</c:v>
                </c:pt>
                <c:pt idx="14">
                  <c:v>3.54</c:v>
                </c:pt>
                <c:pt idx="15">
                  <c:v>5.85</c:v>
                </c:pt>
                <c:pt idx="16">
                  <c:v>4.28</c:v>
                </c:pt>
                <c:pt idx="17">
                  <c:v>5.8045</c:v>
                </c:pt>
                <c:pt idx="18">
                  <c:v>4.3540000000000001</c:v>
                </c:pt>
                <c:pt idx="19">
                  <c:v>4.7</c:v>
                </c:pt>
                <c:pt idx="20">
                  <c:v>2.6135000000000002</c:v>
                </c:pt>
                <c:pt idx="21">
                  <c:v>3.4039999999999999</c:v>
                </c:pt>
                <c:pt idx="22">
                  <c:v>6.4793000000000003</c:v>
                </c:pt>
                <c:pt idx="23">
                  <c:v>4.7910000000000004</c:v>
                </c:pt>
                <c:pt idx="24">
                  <c:v>1.788</c:v>
                </c:pt>
                <c:pt idx="25">
                  <c:v>1.496</c:v>
                </c:pt>
                <c:pt idx="26">
                  <c:v>3.2410000000000001</c:v>
                </c:pt>
                <c:pt idx="27">
                  <c:v>5.1392879999999996</c:v>
                </c:pt>
                <c:pt idx="28">
                  <c:v>4.6310000000000002</c:v>
                </c:pt>
                <c:pt idx="29">
                  <c:v>5.1864999999999997</c:v>
                </c:pt>
                <c:pt idx="30">
                  <c:v>6.7605000000000004</c:v>
                </c:pt>
                <c:pt idx="31">
                  <c:v>4.7469999999999999</c:v>
                </c:pt>
                <c:pt idx="32">
                  <c:v>5.8</c:v>
                </c:pt>
                <c:pt idx="33">
                  <c:v>6.53</c:v>
                </c:pt>
                <c:pt idx="34">
                  <c:v>3.8355000000000001</c:v>
                </c:pt>
                <c:pt idx="35">
                  <c:v>5.7934999999999999</c:v>
                </c:pt>
                <c:pt idx="36">
                  <c:v>4.5054999999999996</c:v>
                </c:pt>
                <c:pt idx="37">
                  <c:v>5.3354999999999997</c:v>
                </c:pt>
                <c:pt idx="38">
                  <c:v>2.5409999999999999</c:v>
                </c:pt>
                <c:pt idx="39">
                  <c:v>5.4562228900000003</c:v>
                </c:pt>
                <c:pt idx="40">
                  <c:v>3.9</c:v>
                </c:pt>
                <c:pt idx="41">
                  <c:v>4.2240000000000002</c:v>
                </c:pt>
                <c:pt idx="42">
                  <c:v>6.3006000000000002</c:v>
                </c:pt>
                <c:pt idx="43">
                  <c:v>5.2750000000000004</c:v>
                </c:pt>
              </c:numCache>
            </c:numRef>
          </c:val>
          <c:extLst>
            <c:ext xmlns:c16="http://schemas.microsoft.com/office/drawing/2014/chart" uri="{C3380CC4-5D6E-409C-BE32-E72D297353CC}">
              <c16:uniqueId val="{00000002-9D49-4F68-9AE3-6B4584460A67}"/>
            </c:ext>
          </c:extLst>
        </c:ser>
        <c:ser>
          <c:idx val="4"/>
          <c:order val="4"/>
          <c:tx>
            <c:strRef>
              <c:f>'4.2'!$G$4</c:f>
              <c:strCache>
                <c:ptCount val="1"/>
                <c:pt idx="0">
                  <c:v>Apartment</c:v>
                </c:pt>
              </c:strCache>
            </c:strRef>
          </c:tx>
          <c:spPr>
            <a:solidFill>
              <a:srgbClr val="006E59"/>
            </a:solidFill>
            <a:ln>
              <a:solidFill>
                <a:srgbClr val="006E59"/>
              </a:solidFill>
            </a:ln>
            <a:effectLst/>
          </c:spPr>
          <c:invertIfNegative val="0"/>
          <c:cat>
            <c:multiLvlStrRef>
              <c:f>'4.2'!$A$5:$B$48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'4.2'!$G$5:$G$48</c:f>
              <c:numCache>
                <c:formatCode>#,##0.00</c:formatCode>
                <c:ptCount val="44"/>
                <c:pt idx="0">
                  <c:v>9.3878990000000009</c:v>
                </c:pt>
                <c:pt idx="1">
                  <c:v>8.7309999999999999</c:v>
                </c:pt>
                <c:pt idx="2">
                  <c:v>2.444</c:v>
                </c:pt>
                <c:pt idx="3">
                  <c:v>1.694</c:v>
                </c:pt>
                <c:pt idx="4">
                  <c:v>1.260888</c:v>
                </c:pt>
                <c:pt idx="5">
                  <c:v>0.77600000000000002</c:v>
                </c:pt>
                <c:pt idx="6">
                  <c:v>1.8260000000000001</c:v>
                </c:pt>
                <c:pt idx="7">
                  <c:v>3.4510000000000001</c:v>
                </c:pt>
                <c:pt idx="8">
                  <c:v>2.5379999999999998</c:v>
                </c:pt>
                <c:pt idx="9">
                  <c:v>3.5775000000000001</c:v>
                </c:pt>
                <c:pt idx="10">
                  <c:v>2.948</c:v>
                </c:pt>
                <c:pt idx="11">
                  <c:v>2.5249999999999999</c:v>
                </c:pt>
                <c:pt idx="12">
                  <c:v>1.365</c:v>
                </c:pt>
                <c:pt idx="13">
                  <c:v>1.121</c:v>
                </c:pt>
                <c:pt idx="14">
                  <c:v>0.72</c:v>
                </c:pt>
                <c:pt idx="15">
                  <c:v>2.52</c:v>
                </c:pt>
                <c:pt idx="16">
                  <c:v>2.21</c:v>
                </c:pt>
                <c:pt idx="17">
                  <c:v>1.871</c:v>
                </c:pt>
                <c:pt idx="18">
                  <c:v>2.19</c:v>
                </c:pt>
                <c:pt idx="19">
                  <c:v>3.6</c:v>
                </c:pt>
                <c:pt idx="20">
                  <c:v>3.6419999999999999</c:v>
                </c:pt>
                <c:pt idx="21">
                  <c:v>3.1640000000000001</c:v>
                </c:pt>
                <c:pt idx="22">
                  <c:v>2.5935000000000001</c:v>
                </c:pt>
                <c:pt idx="23">
                  <c:v>1.2090000000000001</c:v>
                </c:pt>
                <c:pt idx="24">
                  <c:v>2.0779999999999998</c:v>
                </c:pt>
                <c:pt idx="25">
                  <c:v>1.4219999999999999</c:v>
                </c:pt>
                <c:pt idx="26">
                  <c:v>1.284</c:v>
                </c:pt>
                <c:pt idx="27">
                  <c:v>2.677</c:v>
                </c:pt>
                <c:pt idx="28">
                  <c:v>0.80800000000000005</c:v>
                </c:pt>
                <c:pt idx="29">
                  <c:v>2.1320000000000001</c:v>
                </c:pt>
                <c:pt idx="30">
                  <c:v>0.63200000000000001</c:v>
                </c:pt>
                <c:pt idx="31">
                  <c:v>1.669</c:v>
                </c:pt>
                <c:pt idx="32">
                  <c:v>1.2</c:v>
                </c:pt>
                <c:pt idx="33">
                  <c:v>0.75</c:v>
                </c:pt>
                <c:pt idx="34">
                  <c:v>0.63900000000000001</c:v>
                </c:pt>
                <c:pt idx="35">
                  <c:v>0.63800000000000001</c:v>
                </c:pt>
                <c:pt idx="36">
                  <c:v>0.47</c:v>
                </c:pt>
                <c:pt idx="38">
                  <c:v>0.83499999999999996</c:v>
                </c:pt>
                <c:pt idx="39">
                  <c:v>1.8420000000000001</c:v>
                </c:pt>
                <c:pt idx="40">
                  <c:v>0.9</c:v>
                </c:pt>
                <c:pt idx="41">
                  <c:v>2.417554</c:v>
                </c:pt>
                <c:pt idx="42">
                  <c:v>2.779852</c:v>
                </c:pt>
                <c:pt idx="43">
                  <c:v>2.3719139999999999</c:v>
                </c:pt>
              </c:numCache>
            </c:numRef>
          </c:val>
          <c:extLst>
            <c:ext xmlns:c16="http://schemas.microsoft.com/office/drawing/2014/chart" uri="{C3380CC4-5D6E-409C-BE32-E72D297353CC}">
              <c16:uniqueId val="{00000003-9D49-4F68-9AE3-6B4584460A67}"/>
            </c:ext>
          </c:extLst>
        </c:ser>
        <c:dLbls>
          <c:showLegendKey val="0"/>
          <c:showVal val="0"/>
          <c:showCatName val="0"/>
          <c:showSerName val="0"/>
          <c:showPercent val="0"/>
          <c:showBubbleSize val="0"/>
        </c:dLbls>
        <c:gapWidth val="150"/>
        <c:overlap val="100"/>
        <c:axId val="393647407"/>
        <c:axId val="393646159"/>
      </c:barChart>
      <c:lineChart>
        <c:grouping val="standard"/>
        <c:varyColors val="0"/>
        <c:ser>
          <c:idx val="0"/>
          <c:order val="0"/>
          <c:tx>
            <c:strRef>
              <c:f>'4.2'!$C$4</c:f>
              <c:strCache>
                <c:ptCount val="1"/>
                <c:pt idx="0">
                  <c:v>Total</c:v>
                </c:pt>
              </c:strCache>
            </c:strRef>
          </c:tx>
          <c:spPr>
            <a:ln w="22225" cap="sq">
              <a:solidFill>
                <a:schemeClr val="tx1">
                  <a:lumMod val="65000"/>
                  <a:lumOff val="35000"/>
                  <a:alpha val="88000"/>
                </a:schemeClr>
              </a:solidFill>
              <a:round/>
            </a:ln>
            <a:effectLst/>
          </c:spPr>
          <c:marker>
            <c:symbol val="diamond"/>
            <c:size val="7"/>
            <c:spPr>
              <a:solidFill>
                <a:schemeClr val="tx1">
                  <a:lumMod val="65000"/>
                  <a:lumOff val="35000"/>
                </a:schemeClr>
              </a:solidFill>
              <a:ln w="15875">
                <a:solidFill>
                  <a:schemeClr val="tx1">
                    <a:lumMod val="65000"/>
                    <a:lumOff val="35000"/>
                    <a:alpha val="88000"/>
                  </a:schemeClr>
                </a:solidFill>
              </a:ln>
              <a:effectLst/>
            </c:spPr>
          </c:marker>
          <c:cat>
            <c:multiLvlStrRef>
              <c:f>'4.2'!$A$5:$B$48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'4.2'!$C$5:$C$48</c:f>
              <c:numCache>
                <c:formatCode>#,##0.00</c:formatCode>
                <c:ptCount val="44"/>
                <c:pt idx="0">
                  <c:v>39.004498999999996</c:v>
                </c:pt>
                <c:pt idx="1">
                  <c:v>44.368029999999997</c:v>
                </c:pt>
                <c:pt idx="2">
                  <c:v>24.460993519999999</c:v>
                </c:pt>
                <c:pt idx="3">
                  <c:v>11.73175</c:v>
                </c:pt>
                <c:pt idx="4">
                  <c:v>25.415411000000002</c:v>
                </c:pt>
                <c:pt idx="5">
                  <c:v>20.129757490000003</c:v>
                </c:pt>
                <c:pt idx="6">
                  <c:v>27.482293009999999</c:v>
                </c:pt>
                <c:pt idx="7">
                  <c:v>32.252957689999995</c:v>
                </c:pt>
                <c:pt idx="8">
                  <c:v>23.438587170000002</c:v>
                </c:pt>
                <c:pt idx="9">
                  <c:v>22.549134519999999</c:v>
                </c:pt>
                <c:pt idx="10">
                  <c:v>26.909214900000002</c:v>
                </c:pt>
                <c:pt idx="11">
                  <c:v>26.843465999999999</c:v>
                </c:pt>
                <c:pt idx="12">
                  <c:v>23.186222000000001</c:v>
                </c:pt>
                <c:pt idx="13">
                  <c:v>22.697900000000001</c:v>
                </c:pt>
                <c:pt idx="14">
                  <c:v>27.999999999999996</c:v>
                </c:pt>
                <c:pt idx="15">
                  <c:v>36.21</c:v>
                </c:pt>
                <c:pt idx="16">
                  <c:v>29.900000000000002</c:v>
                </c:pt>
                <c:pt idx="17">
                  <c:v>32.693550000000002</c:v>
                </c:pt>
                <c:pt idx="18">
                  <c:v>30.085900000000002</c:v>
                </c:pt>
                <c:pt idx="19">
                  <c:v>30.1</c:v>
                </c:pt>
                <c:pt idx="20">
                  <c:v>19.672756</c:v>
                </c:pt>
                <c:pt idx="21">
                  <c:v>28.891919000000001</c:v>
                </c:pt>
                <c:pt idx="22">
                  <c:v>45.055199999999999</c:v>
                </c:pt>
                <c:pt idx="23">
                  <c:v>35.315553720000004</c:v>
                </c:pt>
                <c:pt idx="24">
                  <c:v>29.200253999999997</c:v>
                </c:pt>
                <c:pt idx="25">
                  <c:v>28.731351</c:v>
                </c:pt>
                <c:pt idx="26">
                  <c:v>35.337570110000001</c:v>
                </c:pt>
                <c:pt idx="27">
                  <c:v>35.136437880000003</c:v>
                </c:pt>
                <c:pt idx="28">
                  <c:v>32.610522020000005</c:v>
                </c:pt>
                <c:pt idx="29">
                  <c:v>33.918373209999999</c:v>
                </c:pt>
                <c:pt idx="30">
                  <c:v>35.909274000000003</c:v>
                </c:pt>
                <c:pt idx="31">
                  <c:v>38.134302449999993</c:v>
                </c:pt>
                <c:pt idx="32">
                  <c:v>31.9</c:v>
                </c:pt>
                <c:pt idx="33">
                  <c:v>34.608076939999997</c:v>
                </c:pt>
                <c:pt idx="34">
                  <c:v>26.982600000000001</c:v>
                </c:pt>
                <c:pt idx="35">
                  <c:v>36.329276999999998</c:v>
                </c:pt>
                <c:pt idx="36">
                  <c:v>20.558599999999998</c:v>
                </c:pt>
                <c:pt idx="37">
                  <c:v>33.920929999999998</c:v>
                </c:pt>
                <c:pt idx="38">
                  <c:v>34.500532999999997</c:v>
                </c:pt>
                <c:pt idx="39">
                  <c:v>36.527399719999998</c:v>
                </c:pt>
                <c:pt idx="40">
                  <c:v>23.9</c:v>
                </c:pt>
                <c:pt idx="41">
                  <c:v>37.926413750000002</c:v>
                </c:pt>
                <c:pt idx="42">
                  <c:v>45.660051690000003</c:v>
                </c:pt>
                <c:pt idx="43">
                  <c:v>32.806314</c:v>
                </c:pt>
              </c:numCache>
            </c:numRef>
          </c:val>
          <c:smooth val="0"/>
          <c:extLst>
            <c:ext xmlns:c16="http://schemas.microsoft.com/office/drawing/2014/chart" uri="{C3380CC4-5D6E-409C-BE32-E72D297353CC}">
              <c16:uniqueId val="{00000005-9D49-4F68-9AE3-6B4584460A67}"/>
            </c:ext>
          </c:extLst>
        </c:ser>
        <c:dLbls>
          <c:showLegendKey val="0"/>
          <c:showVal val="0"/>
          <c:showCatName val="0"/>
          <c:showSerName val="0"/>
          <c:showPercent val="0"/>
          <c:showBubbleSize val="0"/>
        </c:dLbls>
        <c:marker val="1"/>
        <c:smooth val="0"/>
        <c:axId val="393647407"/>
        <c:axId val="393646159"/>
      </c:lineChart>
      <c:catAx>
        <c:axId val="393647407"/>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Geomanist" panose="02000503000000020004" pitchFamily="50" charset="0"/>
                <a:ea typeface="+mn-ea"/>
                <a:cs typeface="+mn-cs"/>
              </a:defRPr>
            </a:pPr>
            <a:endParaRPr lang="en-US"/>
          </a:p>
        </c:txPr>
        <c:crossAx val="393646159"/>
        <c:crosses val="autoZero"/>
        <c:auto val="1"/>
        <c:lblAlgn val="ctr"/>
        <c:lblOffset val="100"/>
        <c:noMultiLvlLbl val="0"/>
      </c:catAx>
      <c:valAx>
        <c:axId val="393646159"/>
        <c:scaling>
          <c:orientation val="minMax"/>
          <c:max val="50"/>
          <c:min val="0"/>
        </c:scaling>
        <c:delete val="0"/>
        <c:axPos val="l"/>
        <c:majorGridlines>
          <c:spPr>
            <a:ln w="6350" cap="flat" cmpd="sng" algn="ctr">
              <a:solidFill>
                <a:schemeClr val="tx1">
                  <a:lumMod val="15000"/>
                  <a:lumOff val="85000"/>
                </a:schemeClr>
              </a:solidFill>
              <a:prstDash val="sysDot"/>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r>
                  <a:rPr lang="en-US" sz="1200" b="1" i="0" baseline="0">
                    <a:latin typeface="Heuristica" panose="02020603050705020204" pitchFamily="18" charset="0"/>
                  </a:rPr>
                  <a:t>BND Million</a:t>
                </a:r>
              </a:p>
            </c:rich>
          </c:tx>
          <c:layout>
            <c:manualLayout>
              <c:xMode val="edge"/>
              <c:yMode val="edge"/>
              <c:x val="7.8896021428406498E-3"/>
              <c:y val="0.36186574405472044"/>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393647407"/>
        <c:crosses val="autoZero"/>
        <c:crossBetween val="between"/>
      </c:valAx>
      <c:spPr>
        <a:noFill/>
        <a:ln>
          <a:noFill/>
        </a:ln>
        <a:effectLst/>
      </c:spPr>
    </c:plotArea>
    <c:legend>
      <c:legendPos val="b"/>
      <c:layout>
        <c:manualLayout>
          <c:xMode val="edge"/>
          <c:yMode val="edge"/>
          <c:x val="0.11863940670083509"/>
          <c:y val="0.94771294397020689"/>
          <c:w val="0.80524750349954033"/>
          <c:h val="3.6123842365393316E-2"/>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5400000" vert="horz"/>
    <a:lstStyle/>
    <a:p>
      <a:pPr>
        <a:defRPr>
          <a:solidFill>
            <a:sysClr val="windowText" lastClr="000000"/>
          </a:solidFill>
        </a:defRPr>
      </a:pPr>
      <a:endParaRPr lang="en-US"/>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b="1" i="0" u="none" strike="noStrike" kern="1200" baseline="0">
                <a:solidFill>
                  <a:srgbClr val="006E59"/>
                </a:solidFill>
                <a:latin typeface="Heuristica" panose="02020603050705020204" pitchFamily="18" charset="0"/>
              </a:rPr>
              <a:t>Chart 4.3: </a:t>
            </a:r>
            <a:r>
              <a:rPr lang="en-US" sz="1800" b="1" i="0" u="none" strike="noStrike" kern="1200" baseline="0">
                <a:solidFill>
                  <a:srgbClr val="D4C029"/>
                </a:solidFill>
                <a:latin typeface="Heuristica" panose="02020603050705020204" pitchFamily="18" charset="0"/>
              </a:rPr>
              <a:t>Median Purchase Price of Transactions by Property Type</a:t>
            </a:r>
          </a:p>
        </c:rich>
      </c:tx>
      <c:layout>
        <c:manualLayout>
          <c:xMode val="edge"/>
          <c:yMode val="edge"/>
          <c:x val="0.15524766008022584"/>
          <c:y val="1.4213197969543147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5716838548066328E-2"/>
          <c:y val="7.3639466021938951E-2"/>
          <c:w val="0.91960181498014393"/>
          <c:h val="0.78903565158194677"/>
        </c:manualLayout>
      </c:layout>
      <c:lineChart>
        <c:grouping val="standard"/>
        <c:varyColors val="0"/>
        <c:ser>
          <c:idx val="0"/>
          <c:order val="0"/>
          <c:tx>
            <c:strRef>
              <c:f>'4.3'!$C$4</c:f>
              <c:strCache>
                <c:ptCount val="1"/>
                <c:pt idx="0">
                  <c:v>Overall</c:v>
                </c:pt>
              </c:strCache>
            </c:strRef>
          </c:tx>
          <c:spPr>
            <a:ln w="28575" cap="rnd">
              <a:solidFill>
                <a:schemeClr val="accent1"/>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'4.3'!$C$5:$C$48</c:f>
              <c:numCache>
                <c:formatCode>#,##0.00</c:formatCode>
                <c:ptCount val="44"/>
                <c:pt idx="0">
                  <c:v>270</c:v>
                </c:pt>
                <c:pt idx="1">
                  <c:v>246</c:v>
                </c:pt>
                <c:pt idx="2">
                  <c:v>295</c:v>
                </c:pt>
                <c:pt idx="3">
                  <c:v>270</c:v>
                </c:pt>
                <c:pt idx="4">
                  <c:v>279</c:v>
                </c:pt>
                <c:pt idx="5">
                  <c:v>255</c:v>
                </c:pt>
                <c:pt idx="6">
                  <c:v>276.62987500000003</c:v>
                </c:pt>
                <c:pt idx="7">
                  <c:v>280</c:v>
                </c:pt>
                <c:pt idx="8">
                  <c:v>280</c:v>
                </c:pt>
                <c:pt idx="9">
                  <c:v>285</c:v>
                </c:pt>
                <c:pt idx="10">
                  <c:v>228.5</c:v>
                </c:pt>
                <c:pt idx="11">
                  <c:v>267</c:v>
                </c:pt>
                <c:pt idx="12">
                  <c:v>250</c:v>
                </c:pt>
                <c:pt idx="13">
                  <c:v>260</c:v>
                </c:pt>
                <c:pt idx="14">
                  <c:v>250</c:v>
                </c:pt>
                <c:pt idx="15">
                  <c:v>252</c:v>
                </c:pt>
                <c:pt idx="16">
                  <c:v>245</c:v>
                </c:pt>
                <c:pt idx="17">
                  <c:v>260</c:v>
                </c:pt>
                <c:pt idx="18">
                  <c:v>260</c:v>
                </c:pt>
                <c:pt idx="19">
                  <c:v>258</c:v>
                </c:pt>
                <c:pt idx="20">
                  <c:v>249</c:v>
                </c:pt>
                <c:pt idx="21">
                  <c:v>238</c:v>
                </c:pt>
                <c:pt idx="22">
                  <c:v>240</c:v>
                </c:pt>
                <c:pt idx="23">
                  <c:v>245</c:v>
                </c:pt>
                <c:pt idx="24">
                  <c:v>247</c:v>
                </c:pt>
                <c:pt idx="25">
                  <c:v>280</c:v>
                </c:pt>
                <c:pt idx="26">
                  <c:v>250</c:v>
                </c:pt>
                <c:pt idx="27">
                  <c:v>268</c:v>
                </c:pt>
                <c:pt idx="28">
                  <c:v>246.5</c:v>
                </c:pt>
                <c:pt idx="29">
                  <c:v>249.5</c:v>
                </c:pt>
                <c:pt idx="30">
                  <c:v>255</c:v>
                </c:pt>
                <c:pt idx="31">
                  <c:v>260</c:v>
                </c:pt>
                <c:pt idx="32">
                  <c:v>251</c:v>
                </c:pt>
                <c:pt idx="33">
                  <c:v>252</c:v>
                </c:pt>
                <c:pt idx="34">
                  <c:v>260</c:v>
                </c:pt>
                <c:pt idx="35">
                  <c:v>258</c:v>
                </c:pt>
                <c:pt idx="36">
                  <c:v>247</c:v>
                </c:pt>
                <c:pt idx="37">
                  <c:v>250</c:v>
                </c:pt>
                <c:pt idx="38">
                  <c:v>249.8</c:v>
                </c:pt>
                <c:pt idx="39">
                  <c:v>240.5</c:v>
                </c:pt>
                <c:pt idx="40">
                  <c:v>220</c:v>
                </c:pt>
                <c:pt idx="41">
                  <c:v>254.5</c:v>
                </c:pt>
                <c:pt idx="42">
                  <c:v>230</c:v>
                </c:pt>
                <c:pt idx="43">
                  <c:v>249.5</c:v>
                </c:pt>
              </c:numCache>
            </c:numRef>
          </c:val>
          <c:smooth val="0"/>
          <c:extLst>
            <c:ext xmlns:c16="http://schemas.microsoft.com/office/drawing/2014/chart" uri="{C3380CC4-5D6E-409C-BE32-E72D297353CC}">
              <c16:uniqueId val="{00000000-770D-415C-9CAD-E5B46F3CDC78}"/>
            </c:ext>
          </c:extLst>
        </c:ser>
        <c:ser>
          <c:idx val="1"/>
          <c:order val="1"/>
          <c:tx>
            <c:strRef>
              <c:f>'4.3'!$D$4</c:f>
              <c:strCache>
                <c:ptCount val="1"/>
                <c:pt idx="0">
                  <c:v>Detached</c:v>
                </c:pt>
              </c:strCache>
            </c:strRef>
          </c:tx>
          <c:spPr>
            <a:ln w="28575" cap="rnd">
              <a:solidFill>
                <a:schemeClr val="accent2"/>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'4.3'!$D$5:$D$48</c:f>
              <c:numCache>
                <c:formatCode>#,##0.00</c:formatCode>
                <c:ptCount val="44"/>
                <c:pt idx="0">
                  <c:v>377.5</c:v>
                </c:pt>
                <c:pt idx="1">
                  <c:v>330</c:v>
                </c:pt>
                <c:pt idx="2">
                  <c:v>380</c:v>
                </c:pt>
                <c:pt idx="3">
                  <c:v>345</c:v>
                </c:pt>
                <c:pt idx="4">
                  <c:v>290</c:v>
                </c:pt>
                <c:pt idx="5">
                  <c:v>257.5</c:v>
                </c:pt>
                <c:pt idx="6">
                  <c:v>280</c:v>
                </c:pt>
                <c:pt idx="7">
                  <c:v>320</c:v>
                </c:pt>
                <c:pt idx="8">
                  <c:v>315</c:v>
                </c:pt>
                <c:pt idx="9">
                  <c:v>318</c:v>
                </c:pt>
                <c:pt idx="10">
                  <c:v>316.5</c:v>
                </c:pt>
                <c:pt idx="11">
                  <c:v>286</c:v>
                </c:pt>
                <c:pt idx="12">
                  <c:v>299</c:v>
                </c:pt>
                <c:pt idx="13">
                  <c:v>280</c:v>
                </c:pt>
                <c:pt idx="14">
                  <c:v>280</c:v>
                </c:pt>
                <c:pt idx="15">
                  <c:v>280</c:v>
                </c:pt>
                <c:pt idx="16">
                  <c:v>288</c:v>
                </c:pt>
                <c:pt idx="17">
                  <c:v>286</c:v>
                </c:pt>
                <c:pt idx="18">
                  <c:v>293</c:v>
                </c:pt>
                <c:pt idx="19">
                  <c:v>285</c:v>
                </c:pt>
                <c:pt idx="20">
                  <c:v>300</c:v>
                </c:pt>
                <c:pt idx="21">
                  <c:v>247.5</c:v>
                </c:pt>
                <c:pt idx="22">
                  <c:v>266.5</c:v>
                </c:pt>
                <c:pt idx="23">
                  <c:v>289</c:v>
                </c:pt>
                <c:pt idx="24">
                  <c:v>282.5</c:v>
                </c:pt>
                <c:pt idx="25">
                  <c:v>300</c:v>
                </c:pt>
                <c:pt idx="26">
                  <c:v>258</c:v>
                </c:pt>
                <c:pt idx="27">
                  <c:v>295.8</c:v>
                </c:pt>
                <c:pt idx="28">
                  <c:v>260</c:v>
                </c:pt>
                <c:pt idx="29">
                  <c:v>268</c:v>
                </c:pt>
                <c:pt idx="30">
                  <c:v>278</c:v>
                </c:pt>
                <c:pt idx="31">
                  <c:v>289</c:v>
                </c:pt>
                <c:pt idx="32">
                  <c:v>278</c:v>
                </c:pt>
                <c:pt idx="33">
                  <c:v>300</c:v>
                </c:pt>
                <c:pt idx="34">
                  <c:v>288</c:v>
                </c:pt>
                <c:pt idx="35">
                  <c:v>272</c:v>
                </c:pt>
                <c:pt idx="36">
                  <c:v>278</c:v>
                </c:pt>
                <c:pt idx="37">
                  <c:v>269</c:v>
                </c:pt>
                <c:pt idx="38">
                  <c:v>252.3</c:v>
                </c:pt>
                <c:pt idx="39">
                  <c:v>260</c:v>
                </c:pt>
                <c:pt idx="40">
                  <c:v>230</c:v>
                </c:pt>
                <c:pt idx="41">
                  <c:v>276.5</c:v>
                </c:pt>
                <c:pt idx="42">
                  <c:v>240</c:v>
                </c:pt>
                <c:pt idx="43">
                  <c:v>268</c:v>
                </c:pt>
              </c:numCache>
            </c:numRef>
          </c:val>
          <c:smooth val="0"/>
          <c:extLst>
            <c:ext xmlns:c16="http://schemas.microsoft.com/office/drawing/2014/chart" uri="{C3380CC4-5D6E-409C-BE32-E72D297353CC}">
              <c16:uniqueId val="{00000001-770D-415C-9CAD-E5B46F3CDC78}"/>
            </c:ext>
          </c:extLst>
        </c:ser>
        <c:ser>
          <c:idx val="2"/>
          <c:order val="2"/>
          <c:tx>
            <c:strRef>
              <c:f>'4.3'!$E$4</c:f>
              <c:strCache>
                <c:ptCount val="1"/>
                <c:pt idx="0">
                  <c:v>Semi-Detached</c:v>
                </c:pt>
              </c:strCache>
            </c:strRef>
          </c:tx>
          <c:spPr>
            <a:ln w="28575" cap="rnd">
              <a:solidFill>
                <a:schemeClr val="accent3"/>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'4.3'!$E$5:$E$48</c:f>
              <c:numCache>
                <c:formatCode>#,##0.00</c:formatCode>
                <c:ptCount val="44"/>
                <c:pt idx="0">
                  <c:v>289.5</c:v>
                </c:pt>
                <c:pt idx="1">
                  <c:v>280</c:v>
                </c:pt>
                <c:pt idx="2">
                  <c:v>245</c:v>
                </c:pt>
                <c:pt idx="3">
                  <c:v>287.5</c:v>
                </c:pt>
                <c:pt idx="4">
                  <c:v>250</c:v>
                </c:pt>
                <c:pt idx="5">
                  <c:v>305</c:v>
                </c:pt>
                <c:pt idx="6">
                  <c:v>300</c:v>
                </c:pt>
                <c:pt idx="7">
                  <c:v>270</c:v>
                </c:pt>
                <c:pt idx="8">
                  <c:v>286</c:v>
                </c:pt>
                <c:pt idx="9">
                  <c:v>300</c:v>
                </c:pt>
                <c:pt idx="10">
                  <c:v>280</c:v>
                </c:pt>
                <c:pt idx="11">
                  <c:v>288.5</c:v>
                </c:pt>
                <c:pt idx="12">
                  <c:v>260</c:v>
                </c:pt>
                <c:pt idx="13">
                  <c:v>257.5</c:v>
                </c:pt>
                <c:pt idx="14">
                  <c:v>255</c:v>
                </c:pt>
                <c:pt idx="15">
                  <c:v>245</c:v>
                </c:pt>
                <c:pt idx="16">
                  <c:v>250</c:v>
                </c:pt>
                <c:pt idx="17">
                  <c:v>268</c:v>
                </c:pt>
                <c:pt idx="18">
                  <c:v>288</c:v>
                </c:pt>
                <c:pt idx="19">
                  <c:v>271</c:v>
                </c:pt>
                <c:pt idx="20">
                  <c:v>260</c:v>
                </c:pt>
                <c:pt idx="21">
                  <c:v>272</c:v>
                </c:pt>
                <c:pt idx="22">
                  <c:v>248</c:v>
                </c:pt>
                <c:pt idx="23">
                  <c:v>250</c:v>
                </c:pt>
                <c:pt idx="24">
                  <c:v>185</c:v>
                </c:pt>
                <c:pt idx="25">
                  <c:v>262</c:v>
                </c:pt>
                <c:pt idx="26">
                  <c:v>265</c:v>
                </c:pt>
                <c:pt idx="27">
                  <c:v>255</c:v>
                </c:pt>
                <c:pt idx="28">
                  <c:v>260</c:v>
                </c:pt>
                <c:pt idx="29">
                  <c:v>254</c:v>
                </c:pt>
                <c:pt idx="30">
                  <c:v>260</c:v>
                </c:pt>
                <c:pt idx="31">
                  <c:v>280</c:v>
                </c:pt>
                <c:pt idx="32">
                  <c:v>275</c:v>
                </c:pt>
                <c:pt idx="33">
                  <c:v>258</c:v>
                </c:pt>
                <c:pt idx="34">
                  <c:v>267.5</c:v>
                </c:pt>
                <c:pt idx="35">
                  <c:v>275.5</c:v>
                </c:pt>
                <c:pt idx="36">
                  <c:v>246</c:v>
                </c:pt>
                <c:pt idx="37">
                  <c:v>285</c:v>
                </c:pt>
                <c:pt idx="38">
                  <c:v>262.5</c:v>
                </c:pt>
                <c:pt idx="39">
                  <c:v>218</c:v>
                </c:pt>
                <c:pt idx="40">
                  <c:v>220</c:v>
                </c:pt>
                <c:pt idx="41">
                  <c:v>209</c:v>
                </c:pt>
                <c:pt idx="42">
                  <c:v>195</c:v>
                </c:pt>
                <c:pt idx="43">
                  <c:v>263</c:v>
                </c:pt>
              </c:numCache>
            </c:numRef>
          </c:val>
          <c:smooth val="0"/>
          <c:extLst>
            <c:ext xmlns:c16="http://schemas.microsoft.com/office/drawing/2014/chart" uri="{C3380CC4-5D6E-409C-BE32-E72D297353CC}">
              <c16:uniqueId val="{00000002-770D-415C-9CAD-E5B46F3CDC78}"/>
            </c:ext>
          </c:extLst>
        </c:ser>
        <c:ser>
          <c:idx val="3"/>
          <c:order val="3"/>
          <c:tx>
            <c:strRef>
              <c:f>'4.3'!$F$4</c:f>
              <c:strCache>
                <c:ptCount val="1"/>
                <c:pt idx="0">
                  <c:v>Terrace</c:v>
                </c:pt>
              </c:strCache>
            </c:strRef>
          </c:tx>
          <c:spPr>
            <a:ln w="28575" cap="rnd">
              <a:solidFill>
                <a:schemeClr val="accent4"/>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'4.3'!$F$5:$F$48</c:f>
              <c:numCache>
                <c:formatCode>#,##0.00</c:formatCode>
                <c:ptCount val="44"/>
                <c:pt idx="0">
                  <c:v>240</c:v>
                </c:pt>
                <c:pt idx="1">
                  <c:v>231.75</c:v>
                </c:pt>
                <c:pt idx="2">
                  <c:v>257.5</c:v>
                </c:pt>
                <c:pt idx="3">
                  <c:v>255</c:v>
                </c:pt>
                <c:pt idx="4">
                  <c:v>270</c:v>
                </c:pt>
                <c:pt idx="5">
                  <c:v>255</c:v>
                </c:pt>
                <c:pt idx="6">
                  <c:v>203</c:v>
                </c:pt>
                <c:pt idx="7">
                  <c:v>255</c:v>
                </c:pt>
                <c:pt idx="8">
                  <c:v>210</c:v>
                </c:pt>
                <c:pt idx="9">
                  <c:v>250</c:v>
                </c:pt>
                <c:pt idx="10">
                  <c:v>116.25</c:v>
                </c:pt>
                <c:pt idx="11">
                  <c:v>218</c:v>
                </c:pt>
                <c:pt idx="12">
                  <c:v>185</c:v>
                </c:pt>
                <c:pt idx="13">
                  <c:v>210</c:v>
                </c:pt>
                <c:pt idx="14">
                  <c:v>193</c:v>
                </c:pt>
                <c:pt idx="15">
                  <c:v>245</c:v>
                </c:pt>
                <c:pt idx="16">
                  <c:v>159.5</c:v>
                </c:pt>
                <c:pt idx="17">
                  <c:v>198</c:v>
                </c:pt>
                <c:pt idx="18">
                  <c:v>205</c:v>
                </c:pt>
                <c:pt idx="19">
                  <c:v>225</c:v>
                </c:pt>
                <c:pt idx="20">
                  <c:v>176.75</c:v>
                </c:pt>
                <c:pt idx="21">
                  <c:v>165</c:v>
                </c:pt>
                <c:pt idx="22">
                  <c:v>208.8</c:v>
                </c:pt>
                <c:pt idx="23">
                  <c:v>202.5</c:v>
                </c:pt>
                <c:pt idx="24">
                  <c:v>215</c:v>
                </c:pt>
                <c:pt idx="25">
                  <c:v>210</c:v>
                </c:pt>
                <c:pt idx="26">
                  <c:v>215</c:v>
                </c:pt>
                <c:pt idx="27">
                  <c:v>219.4</c:v>
                </c:pt>
                <c:pt idx="28">
                  <c:v>203</c:v>
                </c:pt>
                <c:pt idx="29">
                  <c:v>210</c:v>
                </c:pt>
                <c:pt idx="30">
                  <c:v>197</c:v>
                </c:pt>
                <c:pt idx="31">
                  <c:v>191</c:v>
                </c:pt>
                <c:pt idx="32">
                  <c:v>213</c:v>
                </c:pt>
                <c:pt idx="33">
                  <c:v>200</c:v>
                </c:pt>
                <c:pt idx="34">
                  <c:v>213</c:v>
                </c:pt>
                <c:pt idx="35">
                  <c:v>202.5</c:v>
                </c:pt>
                <c:pt idx="36">
                  <c:v>220</c:v>
                </c:pt>
                <c:pt idx="37">
                  <c:v>212</c:v>
                </c:pt>
                <c:pt idx="38">
                  <c:v>199</c:v>
                </c:pt>
                <c:pt idx="39">
                  <c:v>198</c:v>
                </c:pt>
                <c:pt idx="40">
                  <c:v>215</c:v>
                </c:pt>
                <c:pt idx="41">
                  <c:v>235</c:v>
                </c:pt>
                <c:pt idx="42">
                  <c:v>195</c:v>
                </c:pt>
                <c:pt idx="43">
                  <c:v>200</c:v>
                </c:pt>
              </c:numCache>
            </c:numRef>
          </c:val>
          <c:smooth val="0"/>
          <c:extLst>
            <c:ext xmlns:c16="http://schemas.microsoft.com/office/drawing/2014/chart" uri="{C3380CC4-5D6E-409C-BE32-E72D297353CC}">
              <c16:uniqueId val="{00000003-770D-415C-9CAD-E5B46F3CDC78}"/>
            </c:ext>
          </c:extLst>
        </c:ser>
        <c:ser>
          <c:idx val="4"/>
          <c:order val="4"/>
          <c:tx>
            <c:strRef>
              <c:f>'4.3'!$G$4</c:f>
              <c:strCache>
                <c:ptCount val="1"/>
                <c:pt idx="0">
                  <c:v>Apartment</c:v>
                </c:pt>
              </c:strCache>
            </c:strRef>
          </c:tx>
          <c:spPr>
            <a:ln w="28575" cap="rnd">
              <a:solidFill>
                <a:schemeClr val="accent5"/>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'4.3'!$G$5:$G$48</c:f>
              <c:numCache>
                <c:formatCode>#,##0.00</c:formatCode>
                <c:ptCount val="44"/>
                <c:pt idx="0">
                  <c:v>240</c:v>
                </c:pt>
                <c:pt idx="1">
                  <c:v>223.7</c:v>
                </c:pt>
                <c:pt idx="2">
                  <c:v>255</c:v>
                </c:pt>
                <c:pt idx="3">
                  <c:v>246</c:v>
                </c:pt>
                <c:pt idx="4">
                  <c:v>213.5</c:v>
                </c:pt>
                <c:pt idx="5">
                  <c:v>220</c:v>
                </c:pt>
                <c:pt idx="6">
                  <c:v>230</c:v>
                </c:pt>
                <c:pt idx="7">
                  <c:v>320</c:v>
                </c:pt>
                <c:pt idx="8">
                  <c:v>440.75</c:v>
                </c:pt>
                <c:pt idx="9">
                  <c:v>324</c:v>
                </c:pt>
                <c:pt idx="10">
                  <c:v>210</c:v>
                </c:pt>
                <c:pt idx="11">
                  <c:v>367.5</c:v>
                </c:pt>
                <c:pt idx="12">
                  <c:v>205</c:v>
                </c:pt>
                <c:pt idx="13">
                  <c:v>283</c:v>
                </c:pt>
                <c:pt idx="14">
                  <c:v>215</c:v>
                </c:pt>
                <c:pt idx="15">
                  <c:v>240</c:v>
                </c:pt>
                <c:pt idx="16">
                  <c:v>325</c:v>
                </c:pt>
                <c:pt idx="17">
                  <c:v>326</c:v>
                </c:pt>
                <c:pt idx="18">
                  <c:v>195</c:v>
                </c:pt>
                <c:pt idx="19">
                  <c:v>223</c:v>
                </c:pt>
                <c:pt idx="20">
                  <c:v>232</c:v>
                </c:pt>
                <c:pt idx="21">
                  <c:v>234</c:v>
                </c:pt>
                <c:pt idx="22">
                  <c:v>215</c:v>
                </c:pt>
                <c:pt idx="23">
                  <c:v>210</c:v>
                </c:pt>
                <c:pt idx="24">
                  <c:v>220</c:v>
                </c:pt>
                <c:pt idx="25">
                  <c:v>230</c:v>
                </c:pt>
                <c:pt idx="26">
                  <c:v>250</c:v>
                </c:pt>
                <c:pt idx="27">
                  <c:v>240</c:v>
                </c:pt>
                <c:pt idx="28">
                  <c:v>216.5</c:v>
                </c:pt>
                <c:pt idx="29">
                  <c:v>265</c:v>
                </c:pt>
                <c:pt idx="30">
                  <c:v>316</c:v>
                </c:pt>
                <c:pt idx="31">
                  <c:v>230</c:v>
                </c:pt>
                <c:pt idx="32">
                  <c:v>320</c:v>
                </c:pt>
                <c:pt idx="33">
                  <c:v>260</c:v>
                </c:pt>
                <c:pt idx="34">
                  <c:v>215</c:v>
                </c:pt>
                <c:pt idx="35">
                  <c:v>210</c:v>
                </c:pt>
                <c:pt idx="36">
                  <c:v>235</c:v>
                </c:pt>
                <c:pt idx="38">
                  <c:v>305</c:v>
                </c:pt>
                <c:pt idx="39">
                  <c:v>287.5</c:v>
                </c:pt>
                <c:pt idx="40">
                  <c:v>137</c:v>
                </c:pt>
                <c:pt idx="41">
                  <c:v>203</c:v>
                </c:pt>
                <c:pt idx="42">
                  <c:v>250</c:v>
                </c:pt>
                <c:pt idx="43">
                  <c:v>224.185</c:v>
                </c:pt>
              </c:numCache>
            </c:numRef>
          </c:val>
          <c:smooth val="0"/>
          <c:extLst>
            <c:ext xmlns:c16="http://schemas.microsoft.com/office/drawing/2014/chart" uri="{C3380CC4-5D6E-409C-BE32-E72D297353CC}">
              <c16:uniqueId val="{00000004-770D-415C-9CAD-E5B46F3CDC78}"/>
            </c:ext>
          </c:extLst>
        </c:ser>
        <c:ser>
          <c:idx val="5"/>
          <c:order val="5"/>
          <c:tx>
            <c:strRef>
              <c:f>'4.3'!$H$4</c:f>
              <c:strCache>
                <c:ptCount val="1"/>
                <c:pt idx="0">
                  <c:v>Land</c:v>
                </c:pt>
              </c:strCache>
            </c:strRef>
          </c:tx>
          <c:spPr>
            <a:ln w="28575" cap="rnd">
              <a:solidFill>
                <a:schemeClr val="accent6"/>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'4.3'!$H$5:$H$48</c:f>
              <c:numCache>
                <c:formatCode>#,##0.00</c:formatCode>
                <c:ptCount val="44"/>
                <c:pt idx="1">
                  <c:v>225</c:v>
                </c:pt>
                <c:pt idx="2">
                  <c:v>105</c:v>
                </c:pt>
                <c:pt idx="3">
                  <c:v>143</c:v>
                </c:pt>
                <c:pt idx="4">
                  <c:v>95</c:v>
                </c:pt>
                <c:pt idx="5">
                  <c:v>138</c:v>
                </c:pt>
                <c:pt idx="6">
                  <c:v>64</c:v>
                </c:pt>
                <c:pt idx="7">
                  <c:v>100.19338500000001</c:v>
                </c:pt>
                <c:pt idx="8">
                  <c:v>84.167179999999988</c:v>
                </c:pt>
                <c:pt idx="9">
                  <c:v>68.900000000000006</c:v>
                </c:pt>
                <c:pt idx="10">
                  <c:v>220</c:v>
                </c:pt>
                <c:pt idx="11">
                  <c:v>180</c:v>
                </c:pt>
                <c:pt idx="12">
                  <c:v>82</c:v>
                </c:pt>
                <c:pt idx="13">
                  <c:v>300</c:v>
                </c:pt>
                <c:pt idx="14">
                  <c:v>91</c:v>
                </c:pt>
                <c:pt idx="15">
                  <c:v>304.8</c:v>
                </c:pt>
                <c:pt idx="17">
                  <c:v>125</c:v>
                </c:pt>
                <c:pt idx="18">
                  <c:v>85</c:v>
                </c:pt>
                <c:pt idx="21">
                  <c:v>80.2</c:v>
                </c:pt>
                <c:pt idx="22">
                  <c:v>152</c:v>
                </c:pt>
                <c:pt idx="23">
                  <c:v>75</c:v>
                </c:pt>
                <c:pt idx="24">
                  <c:v>150</c:v>
                </c:pt>
                <c:pt idx="25">
                  <c:v>145</c:v>
                </c:pt>
                <c:pt idx="27">
                  <c:v>187.5</c:v>
                </c:pt>
                <c:pt idx="29">
                  <c:v>122</c:v>
                </c:pt>
                <c:pt idx="31">
                  <c:v>470</c:v>
                </c:pt>
                <c:pt idx="32">
                  <c:v>65</c:v>
                </c:pt>
                <c:pt idx="33">
                  <c:v>165</c:v>
                </c:pt>
                <c:pt idx="38">
                  <c:v>176</c:v>
                </c:pt>
                <c:pt idx="39">
                  <c:v>150</c:v>
                </c:pt>
                <c:pt idx="40">
                  <c:v>39</c:v>
                </c:pt>
                <c:pt idx="41">
                  <c:v>110</c:v>
                </c:pt>
                <c:pt idx="42">
                  <c:v>70</c:v>
                </c:pt>
                <c:pt idx="43">
                  <c:v>265</c:v>
                </c:pt>
              </c:numCache>
            </c:numRef>
          </c:val>
          <c:smooth val="0"/>
          <c:extLst>
            <c:ext xmlns:c16="http://schemas.microsoft.com/office/drawing/2014/chart" uri="{C3380CC4-5D6E-409C-BE32-E72D297353CC}">
              <c16:uniqueId val="{00000005-770D-415C-9CAD-E5B46F3CDC78}"/>
            </c:ext>
          </c:extLst>
        </c:ser>
        <c:dLbls>
          <c:showLegendKey val="0"/>
          <c:showVal val="0"/>
          <c:showCatName val="0"/>
          <c:showSerName val="0"/>
          <c:showPercent val="0"/>
          <c:showBubbleSize val="0"/>
        </c:dLbls>
        <c:smooth val="0"/>
        <c:axId val="989729071"/>
        <c:axId val="989730031"/>
      </c:lineChart>
      <c:catAx>
        <c:axId val="989729071"/>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1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crossAx val="989730031"/>
        <c:crosses val="autoZero"/>
        <c:auto val="1"/>
        <c:lblAlgn val="ctr"/>
        <c:lblOffset val="100"/>
        <c:noMultiLvlLbl val="0"/>
      </c:catAx>
      <c:valAx>
        <c:axId val="989730031"/>
        <c:scaling>
          <c:orientation val="minMax"/>
        </c:scaling>
        <c:delete val="0"/>
        <c:axPos val="l"/>
        <c:majorGridlines>
          <c:spPr>
            <a:ln w="9525" cap="flat" cmpd="sng" algn="ctr">
              <a:solidFill>
                <a:schemeClr val="bg1">
                  <a:lumMod val="9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crossAx val="989729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5400000" vert="horz"/>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4.7: </a:t>
            </a:r>
            <a:r>
              <a:rPr lang="en-US" sz="2000" b="1">
                <a:solidFill>
                  <a:srgbClr val="D4C029"/>
                </a:solidFill>
                <a:latin typeface="Heuristica" panose="02020603050705020204" pitchFamily="18" charset="0"/>
              </a:rPr>
              <a:t>Residential Property Price Index</a:t>
            </a:r>
          </a:p>
        </c:rich>
      </c:tx>
      <c:layout>
        <c:manualLayout>
          <c:xMode val="edge"/>
          <c:yMode val="edge"/>
          <c:x val="0.24840660863139907"/>
          <c:y val="1.4141414141414142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0.10037968183133157"/>
          <c:y val="7.6354213679968266E-2"/>
          <c:w val="0.88350610263913243"/>
          <c:h val="0.78160796703113189"/>
        </c:manualLayout>
      </c:layout>
      <c:lineChart>
        <c:grouping val="standard"/>
        <c:varyColors val="0"/>
        <c:ser>
          <c:idx val="0"/>
          <c:order val="0"/>
          <c:spPr>
            <a:ln w="28575" cap="rnd">
              <a:solidFill>
                <a:srgbClr val="006E59"/>
              </a:solidFill>
              <a:round/>
            </a:ln>
            <a:effectLst/>
          </c:spPr>
          <c:marker>
            <c:symbol val="none"/>
          </c:marker>
          <c:cat>
            <c:multiLvlStrRef>
              <c:f>'4.7'!$A$5:$B$48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'4.7'!$C$5:$C$48</c:f>
              <c:numCache>
                <c:formatCode>0.00</c:formatCode>
                <c:ptCount val="44"/>
                <c:pt idx="0">
                  <c:v>100</c:v>
                </c:pt>
                <c:pt idx="1">
                  <c:v>96.152472428397857</c:v>
                </c:pt>
                <c:pt idx="2">
                  <c:v>99.59691457898613</c:v>
                </c:pt>
                <c:pt idx="3">
                  <c:v>94.473576910414295</c:v>
                </c:pt>
                <c:pt idx="4">
                  <c:v>91.674859923521595</c:v>
                </c:pt>
                <c:pt idx="5">
                  <c:v>88.260986941784935</c:v>
                </c:pt>
                <c:pt idx="6">
                  <c:v>93.968929085747575</c:v>
                </c:pt>
                <c:pt idx="7">
                  <c:v>90.931837372900176</c:v>
                </c:pt>
                <c:pt idx="8">
                  <c:v>89.983847858775931</c:v>
                </c:pt>
                <c:pt idx="9">
                  <c:v>99.963306733626212</c:v>
                </c:pt>
                <c:pt idx="10">
                  <c:v>90.620384841220528</c:v>
                </c:pt>
                <c:pt idx="11">
                  <c:v>94.939722098202168</c:v>
                </c:pt>
                <c:pt idx="12">
                  <c:v>87.281033790877046</c:v>
                </c:pt>
                <c:pt idx="13">
                  <c:v>90.663536422623395</c:v>
                </c:pt>
                <c:pt idx="14">
                  <c:v>85.452293741193401</c:v>
                </c:pt>
                <c:pt idx="15">
                  <c:v>86.724398080774336</c:v>
                </c:pt>
                <c:pt idx="16">
                  <c:v>91.551155331460905</c:v>
                </c:pt>
                <c:pt idx="17">
                  <c:v>89.22</c:v>
                </c:pt>
                <c:pt idx="18">
                  <c:v>95.403099999999995</c:v>
                </c:pt>
                <c:pt idx="19">
                  <c:v>95.251607520328179</c:v>
                </c:pt>
                <c:pt idx="20">
                  <c:v>91.119505363649282</c:v>
                </c:pt>
                <c:pt idx="21">
                  <c:v>84.623151766668897</c:v>
                </c:pt>
                <c:pt idx="22">
                  <c:v>91.686201238802283</c:v>
                </c:pt>
                <c:pt idx="23">
                  <c:v>90.5611117452343</c:v>
                </c:pt>
                <c:pt idx="24">
                  <c:v>92.808932515815002</c:v>
                </c:pt>
                <c:pt idx="25">
                  <c:v>93.899765673219846</c:v>
                </c:pt>
                <c:pt idx="26">
                  <c:v>93.131352647141398</c:v>
                </c:pt>
                <c:pt idx="27">
                  <c:v>97.638403129749463</c:v>
                </c:pt>
                <c:pt idx="28">
                  <c:v>88.321705315755622</c:v>
                </c:pt>
                <c:pt idx="29">
                  <c:v>93.075397520400301</c:v>
                </c:pt>
                <c:pt idx="30">
                  <c:v>91.614072584775556</c:v>
                </c:pt>
                <c:pt idx="31">
                  <c:v>98.3083424424306</c:v>
                </c:pt>
                <c:pt idx="32">
                  <c:v>96.504717264317733</c:v>
                </c:pt>
                <c:pt idx="33">
                  <c:v>92.571367791018048</c:v>
                </c:pt>
                <c:pt idx="34">
                  <c:v>97.750458629683379</c:v>
                </c:pt>
                <c:pt idx="35">
                  <c:v>91.81814083801963</c:v>
                </c:pt>
                <c:pt idx="36">
                  <c:v>92.271451338033671</c:v>
                </c:pt>
                <c:pt idx="37">
                  <c:v>95.05464187326271</c:v>
                </c:pt>
                <c:pt idx="38">
                  <c:v>93.577306658926076</c:v>
                </c:pt>
                <c:pt idx="39">
                  <c:v>89.506827193450363</c:v>
                </c:pt>
                <c:pt idx="40">
                  <c:v>87.8</c:v>
                </c:pt>
                <c:pt idx="41">
                  <c:v>96.506069608326797</c:v>
                </c:pt>
                <c:pt idx="42">
                  <c:v>88.695832488230891</c:v>
                </c:pt>
                <c:pt idx="43">
                  <c:v>93.204677095693796</c:v>
                </c:pt>
              </c:numCache>
            </c:numRef>
          </c:val>
          <c:smooth val="0"/>
          <c:extLst>
            <c:ext xmlns:c16="http://schemas.microsoft.com/office/drawing/2014/chart" uri="{C3380CC4-5D6E-409C-BE32-E72D297353CC}">
              <c16:uniqueId val="{00000000-F5D3-43CE-B7C4-402A244921AA}"/>
            </c:ext>
          </c:extLst>
        </c:ser>
        <c:dLbls>
          <c:showLegendKey val="0"/>
          <c:showVal val="0"/>
          <c:showCatName val="0"/>
          <c:showSerName val="0"/>
          <c:showPercent val="0"/>
          <c:showBubbleSize val="0"/>
        </c:dLbls>
        <c:smooth val="0"/>
        <c:axId val="822380447"/>
        <c:axId val="822374207"/>
      </c:lineChart>
      <c:catAx>
        <c:axId val="822380447"/>
        <c:scaling>
          <c:orientation val="minMax"/>
        </c:scaling>
        <c:delete val="0"/>
        <c:axPos val="b"/>
        <c:numFmt formatCode="General" sourceLinked="1"/>
        <c:majorTickMark val="none"/>
        <c:minorTickMark val="none"/>
        <c:tickLblPos val="nextTo"/>
        <c:spPr>
          <a:noFill/>
          <a:ln w="12700" cap="flat" cmpd="sng" algn="ctr">
            <a:solidFill>
              <a:schemeClr val="bg1">
                <a:lumMod val="65000"/>
              </a:schemeClr>
            </a:solidFill>
            <a:round/>
          </a:ln>
          <a:effectLst/>
        </c:spPr>
        <c:txPr>
          <a:bodyPr rot="-60000000" spcFirstLastPara="1" vertOverflow="ellipsis" vert="horz" wrap="square" anchor="ctr" anchorCtr="1"/>
          <a:lstStyle/>
          <a:p>
            <a:pPr>
              <a:defRPr sz="1050" b="1" i="0" u="none" strike="noStrike" kern="1200" baseline="0">
                <a:solidFill>
                  <a:schemeClr val="tx1"/>
                </a:solidFill>
                <a:latin typeface="Geomanist" panose="02000503000000020004" pitchFamily="50" charset="0"/>
                <a:ea typeface="+mn-ea"/>
                <a:cs typeface="+mn-cs"/>
              </a:defRPr>
            </a:pPr>
            <a:endParaRPr lang="en-US"/>
          </a:p>
        </c:txPr>
        <c:crossAx val="822374207"/>
        <c:crosses val="autoZero"/>
        <c:auto val="1"/>
        <c:lblAlgn val="ctr"/>
        <c:lblOffset val="100"/>
        <c:noMultiLvlLbl val="0"/>
      </c:catAx>
      <c:valAx>
        <c:axId val="82237420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solidFill>
                <a:latin typeface="Geomanist" panose="02000503000000020004" pitchFamily="50" charset="0"/>
                <a:ea typeface="+mn-ea"/>
                <a:cs typeface="+mn-cs"/>
              </a:defRPr>
            </a:pPr>
            <a:endParaRPr lang="en-US"/>
          </a:p>
        </c:txPr>
        <c:crossAx val="822380447"/>
        <c:crosses val="autoZero"/>
        <c:crossBetween val="between"/>
      </c:valAx>
      <c:spPr>
        <a:noFill/>
        <a:ln w="19050">
          <a:noFill/>
        </a:ln>
        <a:effectLst/>
      </c:spPr>
    </c:plotArea>
    <c:plotVisOnly val="1"/>
    <c:dispBlanksAs val="gap"/>
    <c:showDLblsOverMax val="0"/>
  </c:chart>
  <c:spPr>
    <a:solidFill>
      <a:schemeClr val="bg1"/>
    </a:solidFill>
    <a:ln w="9525" cap="flat" cmpd="sng" algn="ctr">
      <a:solidFill>
        <a:schemeClr val="bg1">
          <a:lumMod val="65000"/>
        </a:schemeClr>
      </a:solidFill>
      <a:round/>
    </a:ln>
    <a:effectLst/>
  </c:spPr>
  <c:txPr>
    <a:bodyPr/>
    <a:lstStyle/>
    <a:p>
      <a:pPr>
        <a:defRPr/>
      </a:pPr>
      <a:endParaRPr lang="en-US"/>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ysClr val="windowText" lastClr="000000"/>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5.1: </a:t>
            </a:r>
            <a:r>
              <a:rPr lang="en-US" sz="2000" b="1">
                <a:solidFill>
                  <a:srgbClr val="D4C029"/>
                </a:solidFill>
                <a:latin typeface="Heuristica" panose="02020603050705020204" pitchFamily="18" charset="0"/>
              </a:rPr>
              <a:t>Business Conditions</a:t>
            </a:r>
          </a:p>
        </c:rich>
      </c:tx>
      <c:overlay val="0"/>
      <c:spPr>
        <a:noFill/>
        <a:ln>
          <a:noFill/>
        </a:ln>
        <a:effectLst/>
      </c:spPr>
      <c:txPr>
        <a:bodyPr rot="0" spcFirstLastPara="1" vertOverflow="ellipsis" vert="horz" wrap="square" anchor="ctr" anchorCtr="1"/>
        <a:lstStyle/>
        <a:p>
          <a:pPr>
            <a:defRPr sz="2000" b="1" i="0" u="none" strike="noStrike" kern="1200" spc="0" baseline="0">
              <a:solidFill>
                <a:sysClr val="windowText" lastClr="000000"/>
              </a:solidFill>
              <a:latin typeface="Heuristica" panose="02020603050705020204" pitchFamily="18" charset="0"/>
              <a:ea typeface="+mn-ea"/>
              <a:cs typeface="+mn-cs"/>
            </a:defRPr>
          </a:pPr>
          <a:endParaRPr lang="en-US"/>
        </a:p>
      </c:txPr>
    </c:title>
    <c:autoTitleDeleted val="0"/>
    <c:plotArea>
      <c:layout/>
      <c:lineChart>
        <c:grouping val="standard"/>
        <c:varyColors val="0"/>
        <c:ser>
          <c:idx val="1"/>
          <c:order val="1"/>
          <c:tx>
            <c:strRef>
              <c:f>' 5.1'!$D$11</c:f>
              <c:strCache>
                <c:ptCount val="1"/>
                <c:pt idx="0">
                  <c:v>Current Business Conditions</c:v>
                </c:pt>
              </c:strCache>
            </c:strRef>
          </c:tx>
          <c:spPr>
            <a:ln w="28575" cap="rnd">
              <a:solidFill>
                <a:srgbClr val="006E59"/>
              </a:solidFill>
              <a:round/>
            </a:ln>
            <a:effectLst/>
          </c:spPr>
          <c:marker>
            <c:symbol val="none"/>
          </c:marker>
          <c:cat>
            <c:multiLvlStrRef>
              <c:f>' 5.1'!$A$12:$B$79</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 5.1'!$D$12:$D$79</c:f>
              <c:numCache>
                <c:formatCode>0.0</c:formatCode>
                <c:ptCount val="68"/>
                <c:pt idx="0">
                  <c:v>56.500941547897263</c:v>
                </c:pt>
                <c:pt idx="1">
                  <c:v>74.695686067492417</c:v>
                </c:pt>
                <c:pt idx="2">
                  <c:v>54.190494511000111</c:v>
                </c:pt>
                <c:pt idx="3">
                  <c:v>49.132310539565168</c:v>
                </c:pt>
                <c:pt idx="4">
                  <c:v>54.83667889475872</c:v>
                </c:pt>
                <c:pt idx="5">
                  <c:v>59.561181205090762</c:v>
                </c:pt>
                <c:pt idx="6">
                  <c:v>78.939811035480631</c:v>
                </c:pt>
                <c:pt idx="7">
                  <c:v>77.206782716578275</c:v>
                </c:pt>
                <c:pt idx="8">
                  <c:v>71.746125309949718</c:v>
                </c:pt>
                <c:pt idx="9">
                  <c:v>49.55034322745648</c:v>
                </c:pt>
                <c:pt idx="10">
                  <c:v>56.295952548430023</c:v>
                </c:pt>
                <c:pt idx="11">
                  <c:v>51.075012098323398</c:v>
                </c:pt>
                <c:pt idx="12">
                  <c:v>63.485006460797813</c:v>
                </c:pt>
                <c:pt idx="13">
                  <c:v>12.752603507854399</c:v>
                </c:pt>
                <c:pt idx="14">
                  <c:v>67.278055798059086</c:v>
                </c:pt>
                <c:pt idx="15">
                  <c:v>53.656983441435841</c:v>
                </c:pt>
                <c:pt idx="16">
                  <c:v>64.089937008435854</c:v>
                </c:pt>
                <c:pt idx="17">
                  <c:v>67.825515161978771</c:v>
                </c:pt>
                <c:pt idx="18">
                  <c:v>55.221705598775443</c:v>
                </c:pt>
                <c:pt idx="19">
                  <c:v>63.648676565623013</c:v>
                </c:pt>
                <c:pt idx="20">
                  <c:v>53.559716730120577</c:v>
                </c:pt>
                <c:pt idx="21">
                  <c:v>51.254636104825018</c:v>
                </c:pt>
                <c:pt idx="22">
                  <c:v>66.504813328204307</c:v>
                </c:pt>
                <c:pt idx="23">
                  <c:v>72.307260065602463</c:v>
                </c:pt>
                <c:pt idx="24">
                  <c:v>52.138704599231303</c:v>
                </c:pt>
                <c:pt idx="25">
                  <c:v>42.121868583421609</c:v>
                </c:pt>
                <c:pt idx="26">
                  <c:v>26.60002293762669</c:v>
                </c:pt>
                <c:pt idx="27">
                  <c:v>60.285085500453448</c:v>
                </c:pt>
                <c:pt idx="28">
                  <c:v>52.24592520031036</c:v>
                </c:pt>
                <c:pt idx="29">
                  <c:v>48.644172019808373</c:v>
                </c:pt>
                <c:pt idx="30">
                  <c:v>65.655738784332371</c:v>
                </c:pt>
                <c:pt idx="31">
                  <c:v>40.753329956374721</c:v>
                </c:pt>
                <c:pt idx="32">
                  <c:v>39.513703791099637</c:v>
                </c:pt>
                <c:pt idx="33">
                  <c:v>61.560596606277329</c:v>
                </c:pt>
                <c:pt idx="34">
                  <c:v>42.466315023210583</c:v>
                </c:pt>
                <c:pt idx="35">
                  <c:v>78.261184845592979</c:v>
                </c:pt>
                <c:pt idx="36">
                  <c:v>78.206391796938973</c:v>
                </c:pt>
                <c:pt idx="37">
                  <c:v>54.202950203582617</c:v>
                </c:pt>
                <c:pt idx="38">
                  <c:v>37.690604682912209</c:v>
                </c:pt>
                <c:pt idx="39">
                  <c:v>53.785035099404311</c:v>
                </c:pt>
                <c:pt idx="40">
                  <c:v>24.479598714943851</c:v>
                </c:pt>
                <c:pt idx="41">
                  <c:v>58.971672196352863</c:v>
                </c:pt>
                <c:pt idx="42">
                  <c:v>58.483343247779459</c:v>
                </c:pt>
                <c:pt idx="43">
                  <c:v>50.889600963780403</c:v>
                </c:pt>
                <c:pt idx="44">
                  <c:v>41.727102461836211</c:v>
                </c:pt>
                <c:pt idx="45">
                  <c:v>42.14976095083847</c:v>
                </c:pt>
                <c:pt idx="46">
                  <c:v>42.174530975865977</c:v>
                </c:pt>
                <c:pt idx="47">
                  <c:v>50.156911578980072</c:v>
                </c:pt>
                <c:pt idx="48">
                  <c:v>60.19849944365253</c:v>
                </c:pt>
                <c:pt idx="49">
                  <c:v>55.876216329584857</c:v>
                </c:pt>
                <c:pt idx="50">
                  <c:v>61.177940212606913</c:v>
                </c:pt>
                <c:pt idx="51">
                  <c:v>43.623454440396529</c:v>
                </c:pt>
                <c:pt idx="52">
                  <c:v>49.244213703781007</c:v>
                </c:pt>
                <c:pt idx="53">
                  <c:v>67.198200631632162</c:v>
                </c:pt>
                <c:pt idx="54">
                  <c:v>48.098742756504812</c:v>
                </c:pt>
                <c:pt idx="55">
                  <c:v>44.426209405728393</c:v>
                </c:pt>
                <c:pt idx="56">
                  <c:v>43.347035190640057</c:v>
                </c:pt>
                <c:pt idx="57">
                  <c:v>36.969143671180113</c:v>
                </c:pt>
                <c:pt idx="58">
                  <c:v>51.275119273432757</c:v>
                </c:pt>
                <c:pt idx="59">
                  <c:v>65.595044863801235</c:v>
                </c:pt>
                <c:pt idx="60">
                  <c:v>50.621009393920943</c:v>
                </c:pt>
                <c:pt idx="61">
                  <c:v>44.394761737252999</c:v>
                </c:pt>
                <c:pt idx="62">
                  <c:v>67.872524348528771</c:v>
                </c:pt>
                <c:pt idx="63">
                  <c:v>49.233422595703132</c:v>
                </c:pt>
                <c:pt idx="64">
                  <c:v>64.011322868022802</c:v>
                </c:pt>
                <c:pt idx="65">
                  <c:v>55.179270279520978</c:v>
                </c:pt>
                <c:pt idx="66">
                  <c:v>42.366788133155183</c:v>
                </c:pt>
                <c:pt idx="67">
                  <c:v>76.203986773304962</c:v>
                </c:pt>
              </c:numCache>
            </c:numRef>
          </c:val>
          <c:smooth val="0"/>
          <c:extLst>
            <c:ext xmlns:c16="http://schemas.microsoft.com/office/drawing/2014/chart" uri="{C3380CC4-5D6E-409C-BE32-E72D297353CC}">
              <c16:uniqueId val="{00000000-9B8A-45DD-AD2F-2E192776F9A1}"/>
            </c:ext>
          </c:extLst>
        </c:ser>
        <c:ser>
          <c:idx val="2"/>
          <c:order val="2"/>
          <c:tx>
            <c:strRef>
              <c:f>' 5.1'!$E$11</c:f>
              <c:strCache>
                <c:ptCount val="1"/>
                <c:pt idx="0">
                  <c:v>1M Ahead Business Conditions</c:v>
                </c:pt>
              </c:strCache>
            </c:strRef>
          </c:tx>
          <c:spPr>
            <a:ln w="28575" cap="rnd">
              <a:solidFill>
                <a:srgbClr val="D4C029"/>
              </a:solidFill>
              <a:round/>
            </a:ln>
            <a:effectLst/>
          </c:spPr>
          <c:marker>
            <c:symbol val="none"/>
          </c:marker>
          <c:cat>
            <c:multiLvlStrRef>
              <c:f>' 5.1'!$A$12:$B$79</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 5.1'!$E$12:$E$79</c:f>
              <c:numCache>
                <c:formatCode>0.0</c:formatCode>
                <c:ptCount val="68"/>
                <c:pt idx="0">
                  <c:v>61.372145460730863</c:v>
                </c:pt>
                <c:pt idx="1">
                  <c:v>45.909705066869407</c:v>
                </c:pt>
                <c:pt idx="2">
                  <c:v>69.715107347109821</c:v>
                </c:pt>
                <c:pt idx="3">
                  <c:v>72.619149653314309</c:v>
                </c:pt>
                <c:pt idx="4">
                  <c:v>77.297698233968248</c:v>
                </c:pt>
                <c:pt idx="5">
                  <c:v>72.091021443022399</c:v>
                </c:pt>
                <c:pt idx="6">
                  <c:v>83.919141520041464</c:v>
                </c:pt>
                <c:pt idx="7">
                  <c:v>76.961181681379159</c:v>
                </c:pt>
                <c:pt idx="8">
                  <c:v>67.527949928310008</c:v>
                </c:pt>
                <c:pt idx="9">
                  <c:v>77.632840493621316</c:v>
                </c:pt>
                <c:pt idx="10">
                  <c:v>50.174350680465459</c:v>
                </c:pt>
                <c:pt idx="11">
                  <c:v>48.598102240089169</c:v>
                </c:pt>
                <c:pt idx="12">
                  <c:v>36.183466306257849</c:v>
                </c:pt>
                <c:pt idx="13">
                  <c:v>55.211359205282832</c:v>
                </c:pt>
                <c:pt idx="14">
                  <c:v>25.779267297370371</c:v>
                </c:pt>
                <c:pt idx="15">
                  <c:v>81.734109819430799</c:v>
                </c:pt>
                <c:pt idx="16">
                  <c:v>69.351027315415763</c:v>
                </c:pt>
                <c:pt idx="17">
                  <c:v>69.67410327902968</c:v>
                </c:pt>
                <c:pt idx="18">
                  <c:v>63.766560553269777</c:v>
                </c:pt>
                <c:pt idx="19">
                  <c:v>80.719519009061031</c:v>
                </c:pt>
                <c:pt idx="20">
                  <c:v>74.398200841888681</c:v>
                </c:pt>
                <c:pt idx="21">
                  <c:v>71.590542645481136</c:v>
                </c:pt>
                <c:pt idx="22">
                  <c:v>54.542087127584708</c:v>
                </c:pt>
                <c:pt idx="23">
                  <c:v>66.473853405460119</c:v>
                </c:pt>
                <c:pt idx="24">
                  <c:v>77.53933471472169</c:v>
                </c:pt>
                <c:pt idx="25">
                  <c:v>77.505686350831269</c:v>
                </c:pt>
                <c:pt idx="26">
                  <c:v>69.536063091405524</c:v>
                </c:pt>
                <c:pt idx="27">
                  <c:v>60.15668697117858</c:v>
                </c:pt>
                <c:pt idx="28">
                  <c:v>56.366544091850002</c:v>
                </c:pt>
                <c:pt idx="29">
                  <c:v>76.684313353487653</c:v>
                </c:pt>
                <c:pt idx="30">
                  <c:v>35.559164935610973</c:v>
                </c:pt>
                <c:pt idx="31">
                  <c:v>40.910429572190758</c:v>
                </c:pt>
                <c:pt idx="32">
                  <c:v>62.502376465890663</c:v>
                </c:pt>
                <c:pt idx="33">
                  <c:v>62.207760013611477</c:v>
                </c:pt>
                <c:pt idx="34">
                  <c:v>74.462219900816834</c:v>
                </c:pt>
                <c:pt idx="35">
                  <c:v>84.056814283361945</c:v>
                </c:pt>
                <c:pt idx="36">
                  <c:v>55.284081092035223</c:v>
                </c:pt>
                <c:pt idx="37">
                  <c:v>49.916332685902191</c:v>
                </c:pt>
                <c:pt idx="38">
                  <c:v>55.801685156654322</c:v>
                </c:pt>
                <c:pt idx="39">
                  <c:v>49.671737268138479</c:v>
                </c:pt>
                <c:pt idx="40">
                  <c:v>62.43076976435222</c:v>
                </c:pt>
                <c:pt idx="41">
                  <c:v>49.23682304930901</c:v>
                </c:pt>
                <c:pt idx="42">
                  <c:v>54.659011595323562</c:v>
                </c:pt>
                <c:pt idx="43">
                  <c:v>53.801450224514248</c:v>
                </c:pt>
                <c:pt idx="44">
                  <c:v>54.709222632965499</c:v>
                </c:pt>
                <c:pt idx="45">
                  <c:v>54.142810280522383</c:v>
                </c:pt>
                <c:pt idx="46">
                  <c:v>48.797925506805051</c:v>
                </c:pt>
                <c:pt idx="47">
                  <c:v>77.936513753082224</c:v>
                </c:pt>
                <c:pt idx="48">
                  <c:v>63.407644324428297</c:v>
                </c:pt>
                <c:pt idx="49">
                  <c:v>53.746585504384129</c:v>
                </c:pt>
                <c:pt idx="50">
                  <c:v>53.408916631555357</c:v>
                </c:pt>
                <c:pt idx="51">
                  <c:v>51.486869162133821</c:v>
                </c:pt>
                <c:pt idx="52">
                  <c:v>69.740814342336265</c:v>
                </c:pt>
                <c:pt idx="53">
                  <c:v>67.202482959163447</c:v>
                </c:pt>
                <c:pt idx="54">
                  <c:v>64.25389412040181</c:v>
                </c:pt>
                <c:pt idx="55">
                  <c:v>65.353388826168597</c:v>
                </c:pt>
                <c:pt idx="56">
                  <c:v>54.900921836228001</c:v>
                </c:pt>
                <c:pt idx="57">
                  <c:v>67.113065342015517</c:v>
                </c:pt>
                <c:pt idx="58">
                  <c:v>68.989347791547061</c:v>
                </c:pt>
                <c:pt idx="59">
                  <c:v>53.390932273196789</c:v>
                </c:pt>
                <c:pt idx="60">
                  <c:v>47.975763488941531</c:v>
                </c:pt>
                <c:pt idx="61">
                  <c:v>45.747351422780348</c:v>
                </c:pt>
                <c:pt idx="62">
                  <c:v>44.338627710981903</c:v>
                </c:pt>
                <c:pt idx="63">
                  <c:v>54.189093064644652</c:v>
                </c:pt>
                <c:pt idx="64">
                  <c:v>59.492844725012418</c:v>
                </c:pt>
                <c:pt idx="65">
                  <c:v>49.23967227371174</c:v>
                </c:pt>
                <c:pt idx="66">
                  <c:v>53.062135806534599</c:v>
                </c:pt>
                <c:pt idx="67">
                  <c:v>52.595890773271442</c:v>
                </c:pt>
              </c:numCache>
            </c:numRef>
          </c:val>
          <c:smooth val="0"/>
          <c:extLst>
            <c:ext xmlns:c16="http://schemas.microsoft.com/office/drawing/2014/chart" uri="{C3380CC4-5D6E-409C-BE32-E72D297353CC}">
              <c16:uniqueId val="{00000001-9B8A-45DD-AD2F-2E192776F9A1}"/>
            </c:ext>
          </c:extLst>
        </c:ser>
        <c:ser>
          <c:idx val="0"/>
          <c:order val="0"/>
          <c:tx>
            <c:strRef>
              <c:f>' 5.1'!$C$10:$C$11</c:f>
              <c:strCache>
                <c:ptCount val="2"/>
                <c:pt idx="0">
                  <c:v>Threshold</c:v>
                </c:pt>
              </c:strCache>
            </c:strRef>
          </c:tx>
          <c:spPr>
            <a:ln w="28575" cap="rnd">
              <a:solidFill>
                <a:srgbClr val="FF0000"/>
              </a:solidFill>
              <a:prstDash val="dash"/>
              <a:round/>
            </a:ln>
            <a:effectLst/>
          </c:spPr>
          <c:marker>
            <c:symbol val="none"/>
          </c:marker>
          <c:cat>
            <c:multiLvlStrRef>
              <c:f>' 5.1'!$A$12:$B$79</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 5.1'!$C$12:$C$79</c:f>
              <c:numCache>
                <c:formatCode>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2-9B8A-45DD-AD2F-2E192776F9A1}"/>
            </c:ext>
          </c:extLst>
        </c:ser>
        <c:dLbls>
          <c:showLegendKey val="0"/>
          <c:showVal val="0"/>
          <c:showCatName val="0"/>
          <c:showSerName val="0"/>
          <c:showPercent val="0"/>
          <c:showBubbleSize val="0"/>
        </c:dLbls>
        <c:smooth val="0"/>
        <c:axId val="1834176224"/>
        <c:axId val="1835053040"/>
      </c:lineChart>
      <c:catAx>
        <c:axId val="183417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1835053040"/>
        <c:crosses val="autoZero"/>
        <c:auto val="1"/>
        <c:lblAlgn val="ctr"/>
        <c:lblOffset val="100"/>
        <c:noMultiLvlLbl val="0"/>
      </c:catAx>
      <c:valAx>
        <c:axId val="1835053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crossAx val="1834176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Oil and Gas Related</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825556709907464E-2"/>
          <c:y val="0.13572404295725377"/>
          <c:w val="0.88323679326027638"/>
          <c:h val="0.61652085156022163"/>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'!$A$8:$B$74</c:f>
              <c:multiLvlStrCache>
                <c:ptCount val="67"/>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lvl>
                <c:lvl>
                  <c:pt idx="0">
                    <c:v>2020</c:v>
                  </c:pt>
                  <c:pt idx="5">
                    <c:v>2021</c:v>
                  </c:pt>
                  <c:pt idx="17">
                    <c:v>2022</c:v>
                  </c:pt>
                  <c:pt idx="29">
                    <c:v>2023</c:v>
                  </c:pt>
                  <c:pt idx="41">
                    <c:v>2024</c:v>
                  </c:pt>
                  <c:pt idx="53">
                    <c:v>2025</c:v>
                  </c:pt>
                  <c:pt idx="65">
                    <c:v>2026</c:v>
                  </c:pt>
                </c:lvl>
              </c:multiLvlStrCache>
            </c:multiLvlStrRef>
          </c:cat>
          <c:val>
            <c:numRef>
              <c:f>'5.2 '!$C$8:$C$74</c:f>
              <c:numCache>
                <c:formatCode>0.0</c:formatCode>
                <c:ptCount val="6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numCache>
            </c:numRef>
          </c:val>
          <c:smooth val="0"/>
          <c:extLst>
            <c:ext xmlns:c16="http://schemas.microsoft.com/office/drawing/2014/chart" uri="{C3380CC4-5D6E-409C-BE32-E72D297353CC}">
              <c16:uniqueId val="{00000000-80D0-4F2A-A5E4-C90F3E9BF48D}"/>
            </c:ext>
          </c:extLst>
        </c:ser>
        <c:ser>
          <c:idx val="1"/>
          <c:order val="1"/>
          <c:tx>
            <c:strRef>
              <c:f>'5.2 '!$D$7</c:f>
              <c:strCache>
                <c:ptCount val="1"/>
                <c:pt idx="0">
                  <c:v>Oil and Gas Related</c:v>
                </c:pt>
              </c:strCache>
            </c:strRef>
          </c:tx>
          <c:spPr>
            <a:ln w="28575" cap="rnd">
              <a:solidFill>
                <a:srgbClr val="D4C029"/>
              </a:solidFill>
              <a:round/>
            </a:ln>
            <a:effectLst/>
          </c:spPr>
          <c:marker>
            <c:symbol val="none"/>
          </c:marker>
          <c:cat>
            <c:multiLvlStrRef>
              <c:f>'5.2 '!$A$8:$B$74</c:f>
              <c:multiLvlStrCache>
                <c:ptCount val="67"/>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lvl>
                <c:lvl>
                  <c:pt idx="0">
                    <c:v>2020</c:v>
                  </c:pt>
                  <c:pt idx="5">
                    <c:v>2021</c:v>
                  </c:pt>
                  <c:pt idx="17">
                    <c:v>2022</c:v>
                  </c:pt>
                  <c:pt idx="29">
                    <c:v>2023</c:v>
                  </c:pt>
                  <c:pt idx="41">
                    <c:v>2024</c:v>
                  </c:pt>
                  <c:pt idx="53">
                    <c:v>2025</c:v>
                  </c:pt>
                  <c:pt idx="65">
                    <c:v>2026</c:v>
                  </c:pt>
                </c:lvl>
              </c:multiLvlStrCache>
            </c:multiLvlStrRef>
          </c:cat>
          <c:val>
            <c:numRef>
              <c:f>'5.2 '!$D$8:$D$74</c:f>
              <c:numCache>
                <c:formatCode>0.0</c:formatCode>
                <c:ptCount val="67"/>
                <c:pt idx="0">
                  <c:v>57.026259758694103</c:v>
                </c:pt>
                <c:pt idx="1">
                  <c:v>88.675123326286126</c:v>
                </c:pt>
                <c:pt idx="2">
                  <c:v>54.422921711057299</c:v>
                </c:pt>
                <c:pt idx="3">
                  <c:v>46.872568850163368</c:v>
                </c:pt>
                <c:pt idx="4">
                  <c:v>55.637982195845687</c:v>
                </c:pt>
                <c:pt idx="5">
                  <c:v>61.693489923155013</c:v>
                </c:pt>
                <c:pt idx="6">
                  <c:v>92.612997526422305</c:v>
                </c:pt>
                <c:pt idx="7">
                  <c:v>86.746987951807199</c:v>
                </c:pt>
                <c:pt idx="8">
                  <c:v>80.832724616508415</c:v>
                </c:pt>
                <c:pt idx="9">
                  <c:v>44.359171143514942</c:v>
                </c:pt>
                <c:pt idx="10">
                  <c:v>61.307680967123723</c:v>
                </c:pt>
                <c:pt idx="11">
                  <c:v>51.590161366128783</c:v>
                </c:pt>
                <c:pt idx="12">
                  <c:v>76.064037485357318</c:v>
                </c:pt>
                <c:pt idx="13">
                  <c:v>7.5140753572975214</c:v>
                </c:pt>
                <c:pt idx="14">
                  <c:v>86.068755198225674</c:v>
                </c:pt>
                <c:pt idx="15">
                  <c:v>56.744887257472449</c:v>
                </c:pt>
                <c:pt idx="16">
                  <c:v>66.47742103889324</c:v>
                </c:pt>
                <c:pt idx="17">
                  <c:v>73.467674223341717</c:v>
                </c:pt>
                <c:pt idx="18">
                  <c:v>62.045564711585072</c:v>
                </c:pt>
                <c:pt idx="19">
                  <c:v>73.958868894601551</c:v>
                </c:pt>
                <c:pt idx="20">
                  <c:v>53.071392655708557</c:v>
                </c:pt>
                <c:pt idx="21">
                  <c:v>48.995909259947929</c:v>
                </c:pt>
                <c:pt idx="22">
                  <c:v>70.368932038834942</c:v>
                </c:pt>
                <c:pt idx="23">
                  <c:v>78.805443548387089</c:v>
                </c:pt>
                <c:pt idx="24">
                  <c:v>53.013878236467207</c:v>
                </c:pt>
                <c:pt idx="25">
                  <c:v>37.538363171355478</c:v>
                </c:pt>
                <c:pt idx="26">
                  <c:v>13.189710610932471</c:v>
                </c:pt>
                <c:pt idx="27">
                  <c:v>62.873134328358198</c:v>
                </c:pt>
                <c:pt idx="28">
                  <c:v>53.534540576794093</c:v>
                </c:pt>
                <c:pt idx="29">
                  <c:v>46.694681384846973</c:v>
                </c:pt>
                <c:pt idx="30">
                  <c:v>74.798050139275773</c:v>
                </c:pt>
                <c:pt idx="31">
                  <c:v>32.193928750627187</c:v>
                </c:pt>
                <c:pt idx="32">
                  <c:v>33.154730789336128</c:v>
                </c:pt>
                <c:pt idx="33">
                  <c:v>69.289105776839889</c:v>
                </c:pt>
                <c:pt idx="34">
                  <c:v>39.679342301554478</c:v>
                </c:pt>
                <c:pt idx="35">
                  <c:v>89.931806484817287</c:v>
                </c:pt>
                <c:pt idx="36">
                  <c:v>91.767123287671239</c:v>
                </c:pt>
                <c:pt idx="37">
                  <c:v>55.549375849709563</c:v>
                </c:pt>
                <c:pt idx="38">
                  <c:v>29.062650848090762</c:v>
                </c:pt>
                <c:pt idx="39">
                  <c:v>54.380976996639959</c:v>
                </c:pt>
                <c:pt idx="40">
                  <c:v>12.71299699298363</c:v>
                </c:pt>
                <c:pt idx="41">
                  <c:v>58.524372586872609</c:v>
                </c:pt>
                <c:pt idx="42">
                  <c:v>66.262705238467575</c:v>
                </c:pt>
                <c:pt idx="43">
                  <c:v>48.779581216701771</c:v>
                </c:pt>
                <c:pt idx="44">
                  <c:v>34.800876872488097</c:v>
                </c:pt>
                <c:pt idx="45">
                  <c:v>38.766891891891873</c:v>
                </c:pt>
                <c:pt idx="46">
                  <c:v>38.669628855201232</c:v>
                </c:pt>
                <c:pt idx="47">
                  <c:v>51.188465250965251</c:v>
                </c:pt>
                <c:pt idx="48">
                  <c:v>62.957317073170763</c:v>
                </c:pt>
                <c:pt idx="49">
                  <c:v>55.730676328502412</c:v>
                </c:pt>
                <c:pt idx="50">
                  <c:v>64.30984555984557</c:v>
                </c:pt>
                <c:pt idx="51">
                  <c:v>41.348938223938212</c:v>
                </c:pt>
                <c:pt idx="52">
                  <c:v>51.494871153365033</c:v>
                </c:pt>
                <c:pt idx="53">
                  <c:v>71.668795232013593</c:v>
                </c:pt>
                <c:pt idx="54">
                  <c:v>50.816582914572862</c:v>
                </c:pt>
                <c:pt idx="55">
                  <c:v>42.733448781137618</c:v>
                </c:pt>
                <c:pt idx="56">
                  <c:v>37.385379521141132</c:v>
                </c:pt>
                <c:pt idx="57">
                  <c:v>29.613310535315001</c:v>
                </c:pt>
                <c:pt idx="58">
                  <c:v>52.141840300245903</c:v>
                </c:pt>
                <c:pt idx="59">
                  <c:v>70.786360473208063</c:v>
                </c:pt>
                <c:pt idx="60">
                  <c:v>53.284266074156371</c:v>
                </c:pt>
                <c:pt idx="61">
                  <c:v>40.745554035567729</c:v>
                </c:pt>
                <c:pt idx="62">
                  <c:v>78.079789565979837</c:v>
                </c:pt>
                <c:pt idx="63">
                  <c:v>50</c:v>
                </c:pt>
                <c:pt idx="64">
                  <c:v>74.493844049247613</c:v>
                </c:pt>
                <c:pt idx="65">
                  <c:v>56.084767100293753</c:v>
                </c:pt>
                <c:pt idx="66">
                  <c:v>43.463035019455248</c:v>
                </c:pt>
              </c:numCache>
            </c:numRef>
          </c:val>
          <c:smooth val="0"/>
          <c:extLst>
            <c:ext xmlns:c16="http://schemas.microsoft.com/office/drawing/2014/chart" uri="{C3380CC4-5D6E-409C-BE32-E72D297353CC}">
              <c16:uniqueId val="{00000001-80D0-4F2A-A5E4-C90F3E9BF48D}"/>
            </c:ext>
          </c:extLst>
        </c:ser>
        <c:dLbls>
          <c:showLegendKey val="0"/>
          <c:showVal val="0"/>
          <c:showCatName val="0"/>
          <c:showSerName val="0"/>
          <c:showPercent val="0"/>
          <c:showBubbleSize val="0"/>
        </c:dLbls>
        <c:smooth val="0"/>
        <c:axId val="1442801295"/>
        <c:axId val="1442805039"/>
      </c:lineChart>
      <c:catAx>
        <c:axId val="1442801295"/>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a:outerShdw blurRad="50800" sx="2000" sy="2000" algn="ctr" rotWithShape="0">
              <a:srgbClr val="000000"/>
            </a:outerShdw>
          </a:effectLst>
        </c:spPr>
        <c:txPr>
          <a:bodyPr rot="-5400000" spcFirstLastPara="1" vertOverflow="ellipsis"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5039"/>
        <c:crosses val="autoZero"/>
        <c:auto val="1"/>
        <c:lblAlgn val="ctr"/>
        <c:lblOffset val="100"/>
        <c:tickMarkSkip val="1"/>
        <c:noMultiLvlLbl val="0"/>
      </c:catAx>
      <c:valAx>
        <c:axId val="1442805039"/>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12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0" vert="horz"/>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Manufacturing</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387836947314944E-2"/>
          <c:y val="0.14282352941176471"/>
          <c:w val="0.88749316975277648"/>
          <c:h val="0.62740127569523896"/>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'!$C$8:$C$75</c:f>
              <c:numCache>
                <c:formatCode>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0-03C3-421E-8566-C9110188BB36}"/>
            </c:ext>
          </c:extLst>
        </c:ser>
        <c:ser>
          <c:idx val="1"/>
          <c:order val="1"/>
          <c:tx>
            <c:strRef>
              <c:f>'5.2 '!$E$7</c:f>
              <c:strCache>
                <c:ptCount val="1"/>
                <c:pt idx="0">
                  <c:v>Manufacturing</c:v>
                </c:pt>
              </c:strCache>
            </c:strRef>
          </c:tx>
          <c:spPr>
            <a:ln w="28575" cap="rnd">
              <a:solidFill>
                <a:srgbClr val="D4C029"/>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'!$E$8:$E$75</c:f>
              <c:numCache>
                <c:formatCode>0.0</c:formatCode>
                <c:ptCount val="68"/>
                <c:pt idx="0">
                  <c:v>61.42755428978284</c:v>
                </c:pt>
                <c:pt idx="1">
                  <c:v>47.020451339915368</c:v>
                </c:pt>
                <c:pt idx="2">
                  <c:v>46.075401730531517</c:v>
                </c:pt>
                <c:pt idx="3">
                  <c:v>48.204826368452032</c:v>
                </c:pt>
                <c:pt idx="4">
                  <c:v>55.852842809364553</c:v>
                </c:pt>
                <c:pt idx="5">
                  <c:v>55.153890824622529</c:v>
                </c:pt>
                <c:pt idx="6">
                  <c:v>41.466005665722378</c:v>
                </c:pt>
                <c:pt idx="7">
                  <c:v>59.941804073714842</c:v>
                </c:pt>
                <c:pt idx="8">
                  <c:v>53.549382716049379</c:v>
                </c:pt>
                <c:pt idx="9">
                  <c:v>51.355060034305318</c:v>
                </c:pt>
                <c:pt idx="10">
                  <c:v>53.685152057245091</c:v>
                </c:pt>
                <c:pt idx="11">
                  <c:v>53.761398176291799</c:v>
                </c:pt>
                <c:pt idx="12">
                  <c:v>37.764852513502291</c:v>
                </c:pt>
                <c:pt idx="13">
                  <c:v>24.334870521461511</c:v>
                </c:pt>
                <c:pt idx="14">
                  <c:v>20.38948069241011</c:v>
                </c:pt>
                <c:pt idx="15">
                  <c:v>43.119266055045877</c:v>
                </c:pt>
                <c:pt idx="16">
                  <c:v>49.869366427171776</c:v>
                </c:pt>
                <c:pt idx="17">
                  <c:v>55.75721511454924</c:v>
                </c:pt>
                <c:pt idx="18">
                  <c:v>44.555353901996376</c:v>
                </c:pt>
                <c:pt idx="19">
                  <c:v>33.91517599538372</c:v>
                </c:pt>
                <c:pt idx="20">
                  <c:v>45.830225195435403</c:v>
                </c:pt>
                <c:pt idx="21">
                  <c:v>55.19171564511614</c:v>
                </c:pt>
                <c:pt idx="22">
                  <c:v>55.095447870778273</c:v>
                </c:pt>
                <c:pt idx="23">
                  <c:v>51.843025103272957</c:v>
                </c:pt>
                <c:pt idx="24">
                  <c:v>56.296268345298166</c:v>
                </c:pt>
                <c:pt idx="25">
                  <c:v>40.044247787610622</c:v>
                </c:pt>
                <c:pt idx="26">
                  <c:v>37.652811735941313</c:v>
                </c:pt>
                <c:pt idx="27">
                  <c:v>47.471162377994673</c:v>
                </c:pt>
                <c:pt idx="28">
                  <c:v>50.723744995380343</c:v>
                </c:pt>
                <c:pt idx="29">
                  <c:v>51.503886448124362</c:v>
                </c:pt>
                <c:pt idx="30">
                  <c:v>57.509213759213743</c:v>
                </c:pt>
                <c:pt idx="31">
                  <c:v>62.761876659781663</c:v>
                </c:pt>
                <c:pt idx="32">
                  <c:v>52.640487474610687</c:v>
                </c:pt>
                <c:pt idx="33">
                  <c:v>48.905529953917053</c:v>
                </c:pt>
                <c:pt idx="34">
                  <c:v>71.004429435213353</c:v>
                </c:pt>
                <c:pt idx="35">
                  <c:v>52.136507026096943</c:v>
                </c:pt>
                <c:pt idx="36">
                  <c:v>44.47353112274579</c:v>
                </c:pt>
                <c:pt idx="37">
                  <c:v>66.630316248636831</c:v>
                </c:pt>
                <c:pt idx="38">
                  <c:v>50.433750254328743</c:v>
                </c:pt>
                <c:pt idx="39">
                  <c:v>55.477724852899968</c:v>
                </c:pt>
                <c:pt idx="40">
                  <c:v>34.454136184580769</c:v>
                </c:pt>
                <c:pt idx="41">
                  <c:v>56.413793103448278</c:v>
                </c:pt>
                <c:pt idx="42">
                  <c:v>44.044791313199873</c:v>
                </c:pt>
                <c:pt idx="43">
                  <c:v>58.38741077222582</c:v>
                </c:pt>
                <c:pt idx="44">
                  <c:v>37.372708757637483</c:v>
                </c:pt>
                <c:pt idx="45">
                  <c:v>52.045454545454547</c:v>
                </c:pt>
                <c:pt idx="46">
                  <c:v>45.92723760463619</c:v>
                </c:pt>
                <c:pt idx="47">
                  <c:v>51.58620689655173</c:v>
                </c:pt>
                <c:pt idx="48">
                  <c:v>38.324392552855777</c:v>
                </c:pt>
                <c:pt idx="49">
                  <c:v>53.704287515762928</c:v>
                </c:pt>
                <c:pt idx="50">
                  <c:v>49.463327370304107</c:v>
                </c:pt>
                <c:pt idx="51">
                  <c:v>44.529431326903889</c:v>
                </c:pt>
                <c:pt idx="52">
                  <c:v>44.829300629764667</c:v>
                </c:pt>
                <c:pt idx="53">
                  <c:v>57.360831656606308</c:v>
                </c:pt>
                <c:pt idx="54">
                  <c:v>48.884408602150529</c:v>
                </c:pt>
                <c:pt idx="55">
                  <c:v>47.638483965014579</c:v>
                </c:pt>
                <c:pt idx="56">
                  <c:v>55.8094176650878</c:v>
                </c:pt>
                <c:pt idx="57">
                  <c:v>48.190167477039452</c:v>
                </c:pt>
                <c:pt idx="58">
                  <c:v>43.25938566552901</c:v>
                </c:pt>
                <c:pt idx="59">
                  <c:v>48.160046728971949</c:v>
                </c:pt>
                <c:pt idx="60">
                  <c:v>43.427430852580557</c:v>
                </c:pt>
                <c:pt idx="61">
                  <c:v>49.929138321995467</c:v>
                </c:pt>
                <c:pt idx="62">
                  <c:v>52.10336538461538</c:v>
                </c:pt>
                <c:pt idx="63">
                  <c:v>52.848484848484851</c:v>
                </c:pt>
                <c:pt idx="64">
                  <c:v>38.236256544502631</c:v>
                </c:pt>
                <c:pt idx="65">
                  <c:v>55.143584151217738</c:v>
                </c:pt>
                <c:pt idx="66">
                  <c:v>62.527438068359992</c:v>
                </c:pt>
                <c:pt idx="67">
                  <c:v>52.465483234714007</c:v>
                </c:pt>
              </c:numCache>
            </c:numRef>
          </c:val>
          <c:smooth val="0"/>
          <c:extLst>
            <c:ext xmlns:c16="http://schemas.microsoft.com/office/drawing/2014/chart" uri="{C3380CC4-5D6E-409C-BE32-E72D297353CC}">
              <c16:uniqueId val="{00000001-03C3-421E-8566-C9110188BB36}"/>
            </c:ext>
          </c:extLst>
        </c:ser>
        <c:dLbls>
          <c:showLegendKey val="0"/>
          <c:showVal val="0"/>
          <c:showCatName val="0"/>
          <c:showSerName val="0"/>
          <c:showPercent val="0"/>
          <c:showBubbleSize val="0"/>
        </c:dLbls>
        <c:smooth val="0"/>
        <c:axId val="1442793807"/>
        <c:axId val="1442798799"/>
      </c:lineChart>
      <c:catAx>
        <c:axId val="1442793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8799"/>
        <c:crosses val="autoZero"/>
        <c:auto val="1"/>
        <c:lblAlgn val="ctr"/>
        <c:lblOffset val="100"/>
        <c:noMultiLvlLbl val="0"/>
      </c:catAx>
      <c:valAx>
        <c:axId val="1442798799"/>
        <c:scaling>
          <c:orientation val="minMax"/>
          <c:max val="8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380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Construction</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513044680211509E-2"/>
          <c:y val="0.15790719696969696"/>
          <c:w val="0.88364161060605706"/>
          <c:h val="0.63351452517298978"/>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'!$C$8:$C$75</c:f>
              <c:numCache>
                <c:formatCode>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0-3B00-430A-B621-7B46D3CF47C4}"/>
            </c:ext>
          </c:extLst>
        </c:ser>
        <c:ser>
          <c:idx val="1"/>
          <c:order val="1"/>
          <c:tx>
            <c:strRef>
              <c:f>'5.2 '!$F$7</c:f>
              <c:strCache>
                <c:ptCount val="1"/>
                <c:pt idx="0">
                  <c:v>Construction</c:v>
                </c:pt>
              </c:strCache>
            </c:strRef>
          </c:tx>
          <c:spPr>
            <a:ln w="28575" cap="rnd">
              <a:solidFill>
                <a:srgbClr val="D4C029"/>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'!$F$8:$F$75</c:f>
              <c:numCache>
                <c:formatCode>0.0</c:formatCode>
                <c:ptCount val="68"/>
                <c:pt idx="0">
                  <c:v>50.564024390243901</c:v>
                </c:pt>
                <c:pt idx="1">
                  <c:v>50.602409638554221</c:v>
                </c:pt>
                <c:pt idx="2">
                  <c:v>49.611791025134877</c:v>
                </c:pt>
                <c:pt idx="3">
                  <c:v>44.940328194927893</c:v>
                </c:pt>
                <c:pt idx="4">
                  <c:v>39.175329175329168</c:v>
                </c:pt>
                <c:pt idx="5">
                  <c:v>43.118594436310389</c:v>
                </c:pt>
                <c:pt idx="6">
                  <c:v>47.396979029183157</c:v>
                </c:pt>
                <c:pt idx="7">
                  <c:v>65.343990864972895</c:v>
                </c:pt>
                <c:pt idx="8">
                  <c:v>48.056512749827696</c:v>
                </c:pt>
                <c:pt idx="9">
                  <c:v>43.024172359432448</c:v>
                </c:pt>
                <c:pt idx="10">
                  <c:v>46.441180624205622</c:v>
                </c:pt>
                <c:pt idx="11">
                  <c:v>50.217788393986233</c:v>
                </c:pt>
                <c:pt idx="12">
                  <c:v>27.844620144379491</c:v>
                </c:pt>
                <c:pt idx="13">
                  <c:v>13.94981575715037</c:v>
                </c:pt>
                <c:pt idx="14">
                  <c:v>29.534883720930221</c:v>
                </c:pt>
                <c:pt idx="15">
                  <c:v>25.57520604395604</c:v>
                </c:pt>
                <c:pt idx="16">
                  <c:v>25.158419846299051</c:v>
                </c:pt>
                <c:pt idx="17">
                  <c:v>35.274996749447411</c:v>
                </c:pt>
                <c:pt idx="18">
                  <c:v>32.80551653684077</c:v>
                </c:pt>
                <c:pt idx="19">
                  <c:v>27.710522814952789</c:v>
                </c:pt>
                <c:pt idx="20">
                  <c:v>53.491481074460097</c:v>
                </c:pt>
                <c:pt idx="21">
                  <c:v>57.093777834330069</c:v>
                </c:pt>
                <c:pt idx="22">
                  <c:v>59.514118544899517</c:v>
                </c:pt>
                <c:pt idx="23">
                  <c:v>51.041363239149433</c:v>
                </c:pt>
                <c:pt idx="24">
                  <c:v>42.958407887118291</c:v>
                </c:pt>
                <c:pt idx="25">
                  <c:v>65.829223181257703</c:v>
                </c:pt>
                <c:pt idx="26">
                  <c:v>48.068767040290822</c:v>
                </c:pt>
                <c:pt idx="27">
                  <c:v>45.227689271112382</c:v>
                </c:pt>
                <c:pt idx="28">
                  <c:v>29.833333333333329</c:v>
                </c:pt>
                <c:pt idx="29">
                  <c:v>45.460797799174699</c:v>
                </c:pt>
                <c:pt idx="30">
                  <c:v>47.441690962099131</c:v>
                </c:pt>
                <c:pt idx="31">
                  <c:v>54.535511156482428</c:v>
                </c:pt>
                <c:pt idx="32">
                  <c:v>24.535211267605629</c:v>
                </c:pt>
                <c:pt idx="33">
                  <c:v>48.845671267252193</c:v>
                </c:pt>
                <c:pt idx="34">
                  <c:v>55.849998731598397</c:v>
                </c:pt>
                <c:pt idx="35">
                  <c:v>50.070049813200498</c:v>
                </c:pt>
                <c:pt idx="36">
                  <c:v>65.775695783962533</c:v>
                </c:pt>
                <c:pt idx="37">
                  <c:v>52.345938375350137</c:v>
                </c:pt>
                <c:pt idx="38">
                  <c:v>64.59912555867615</c:v>
                </c:pt>
                <c:pt idx="39">
                  <c:v>42.757982415548348</c:v>
                </c:pt>
                <c:pt idx="40">
                  <c:v>56.599856836077308</c:v>
                </c:pt>
                <c:pt idx="41">
                  <c:v>53.743095545892572</c:v>
                </c:pt>
                <c:pt idx="42">
                  <c:v>52.114300358790373</c:v>
                </c:pt>
                <c:pt idx="43">
                  <c:v>68.196572318878211</c:v>
                </c:pt>
                <c:pt idx="44">
                  <c:v>57.009646302250808</c:v>
                </c:pt>
                <c:pt idx="45">
                  <c:v>49.768242616871937</c:v>
                </c:pt>
                <c:pt idx="46">
                  <c:v>48.269681511098852</c:v>
                </c:pt>
                <c:pt idx="47">
                  <c:v>49.616956077630221</c:v>
                </c:pt>
                <c:pt idx="48">
                  <c:v>64.353910541459598</c:v>
                </c:pt>
                <c:pt idx="49">
                  <c:v>50.652602822886628</c:v>
                </c:pt>
                <c:pt idx="50">
                  <c:v>38.468369995901071</c:v>
                </c:pt>
                <c:pt idx="51">
                  <c:v>33.698577470203752</c:v>
                </c:pt>
                <c:pt idx="52">
                  <c:v>39.032047089601043</c:v>
                </c:pt>
                <c:pt idx="53">
                  <c:v>45.317626006561291</c:v>
                </c:pt>
                <c:pt idx="54">
                  <c:v>39.34010152284263</c:v>
                </c:pt>
                <c:pt idx="55">
                  <c:v>57.869044519656327</c:v>
                </c:pt>
                <c:pt idx="56">
                  <c:v>56.343737332792848</c:v>
                </c:pt>
                <c:pt idx="57">
                  <c:v>59.865861837692798</c:v>
                </c:pt>
                <c:pt idx="58">
                  <c:v>41.703109815354708</c:v>
                </c:pt>
                <c:pt idx="59">
                  <c:v>45.04914715235617</c:v>
                </c:pt>
                <c:pt idx="60">
                  <c:v>39.456120420335132</c:v>
                </c:pt>
                <c:pt idx="61">
                  <c:v>60.96624751819985</c:v>
                </c:pt>
                <c:pt idx="62">
                  <c:v>47.118301314459053</c:v>
                </c:pt>
                <c:pt idx="63">
                  <c:v>37.771428571428572</c:v>
                </c:pt>
                <c:pt idx="64">
                  <c:v>37.30900798175599</c:v>
                </c:pt>
                <c:pt idx="65">
                  <c:v>46.435960127891668</c:v>
                </c:pt>
                <c:pt idx="66">
                  <c:v>46.239406779661017</c:v>
                </c:pt>
                <c:pt idx="67">
                  <c:v>64.981006647673311</c:v>
                </c:pt>
              </c:numCache>
            </c:numRef>
          </c:val>
          <c:smooth val="0"/>
          <c:extLst>
            <c:ext xmlns:c16="http://schemas.microsoft.com/office/drawing/2014/chart" uri="{C3380CC4-5D6E-409C-BE32-E72D297353CC}">
              <c16:uniqueId val="{00000001-3B00-430A-B621-7B46D3CF47C4}"/>
            </c:ext>
          </c:extLst>
        </c:ser>
        <c:dLbls>
          <c:showLegendKey val="0"/>
          <c:showVal val="0"/>
          <c:showCatName val="0"/>
          <c:showSerName val="0"/>
          <c:showPercent val="0"/>
          <c:showBubbleSize val="0"/>
        </c:dLbls>
        <c:smooth val="0"/>
        <c:axId val="1386751647"/>
        <c:axId val="1386753311"/>
      </c:lineChart>
      <c:catAx>
        <c:axId val="1386751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3311"/>
        <c:crosses val="autoZero"/>
        <c:auto val="1"/>
        <c:lblAlgn val="ctr"/>
        <c:lblOffset val="100"/>
        <c:noMultiLvlLbl val="0"/>
      </c:catAx>
      <c:valAx>
        <c:axId val="1386753311"/>
        <c:scaling>
          <c:orientation val="minMax"/>
          <c:max val="8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16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Wholesale &amp; Retail Trade</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588963611680309E-2"/>
          <c:y val="0.15694117647058822"/>
          <c:w val="0.88353950109618062"/>
          <c:h val="0.62838425196850389"/>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'!$C$8:$C$75</c:f>
              <c:numCache>
                <c:formatCode>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0-A0EA-431B-848F-3E32FC1394E3}"/>
            </c:ext>
          </c:extLst>
        </c:ser>
        <c:ser>
          <c:idx val="1"/>
          <c:order val="1"/>
          <c:tx>
            <c:strRef>
              <c:f>'5.2 '!$G$7</c:f>
              <c:strCache>
                <c:ptCount val="1"/>
                <c:pt idx="0">
                  <c:v>Wholesale &amp; Retail Trade</c:v>
                </c:pt>
              </c:strCache>
            </c:strRef>
          </c:tx>
          <c:spPr>
            <a:ln w="28575" cap="rnd">
              <a:solidFill>
                <a:srgbClr val="D4C029"/>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'!$G$8:$G$75</c:f>
              <c:numCache>
                <c:formatCode>0.0</c:formatCode>
                <c:ptCount val="68"/>
                <c:pt idx="0">
                  <c:v>54.41199684293607</c:v>
                </c:pt>
                <c:pt idx="1">
                  <c:v>44.16376306620208</c:v>
                </c:pt>
                <c:pt idx="2">
                  <c:v>43.388927097661629</c:v>
                </c:pt>
                <c:pt idx="3">
                  <c:v>56.555414730319683</c:v>
                </c:pt>
                <c:pt idx="4">
                  <c:v>71.823583180987214</c:v>
                </c:pt>
                <c:pt idx="5">
                  <c:v>52.475928473177447</c:v>
                </c:pt>
                <c:pt idx="6">
                  <c:v>51.038453629446828</c:v>
                </c:pt>
                <c:pt idx="7">
                  <c:v>42.221039560049661</c:v>
                </c:pt>
                <c:pt idx="8">
                  <c:v>71.455124800849703</c:v>
                </c:pt>
                <c:pt idx="9">
                  <c:v>61.836485661989023</c:v>
                </c:pt>
                <c:pt idx="10">
                  <c:v>44.627027027027012</c:v>
                </c:pt>
                <c:pt idx="11">
                  <c:v>42.372702302979093</c:v>
                </c:pt>
                <c:pt idx="12">
                  <c:v>29.952696310312209</c:v>
                </c:pt>
                <c:pt idx="13">
                  <c:v>29.211439907422712</c:v>
                </c:pt>
                <c:pt idx="14">
                  <c:v>35.304508748317673</c:v>
                </c:pt>
                <c:pt idx="15">
                  <c:v>53.401526221789247</c:v>
                </c:pt>
                <c:pt idx="16">
                  <c:v>65.82369942196533</c:v>
                </c:pt>
                <c:pt idx="17">
                  <c:v>61.218130311614722</c:v>
                </c:pt>
                <c:pt idx="18">
                  <c:v>42.89867109634551</c:v>
                </c:pt>
                <c:pt idx="19">
                  <c:v>14.53819840364881</c:v>
                </c:pt>
                <c:pt idx="20">
                  <c:v>57.532773840649362</c:v>
                </c:pt>
                <c:pt idx="21">
                  <c:v>47.700718993409232</c:v>
                </c:pt>
                <c:pt idx="22">
                  <c:v>40.087232355273599</c:v>
                </c:pt>
                <c:pt idx="23">
                  <c:v>54.178027265437059</c:v>
                </c:pt>
                <c:pt idx="24">
                  <c:v>45.09387671571681</c:v>
                </c:pt>
                <c:pt idx="25">
                  <c:v>45.102719907407398</c:v>
                </c:pt>
                <c:pt idx="26">
                  <c:v>46.805717619603278</c:v>
                </c:pt>
                <c:pt idx="27">
                  <c:v>58.418089357065021</c:v>
                </c:pt>
                <c:pt idx="28">
                  <c:v>39.050547472626363</c:v>
                </c:pt>
                <c:pt idx="29">
                  <c:v>47.659380692167581</c:v>
                </c:pt>
                <c:pt idx="30">
                  <c:v>49.095337508698677</c:v>
                </c:pt>
                <c:pt idx="31">
                  <c:v>56.133074479350512</c:v>
                </c:pt>
                <c:pt idx="32">
                  <c:v>66.996117190257678</c:v>
                </c:pt>
                <c:pt idx="33">
                  <c:v>41.679845369882273</c:v>
                </c:pt>
                <c:pt idx="34">
                  <c:v>29.648976495761971</c:v>
                </c:pt>
                <c:pt idx="35">
                  <c:v>25.708884688090748</c:v>
                </c:pt>
                <c:pt idx="36">
                  <c:v>51.987337319732703</c:v>
                </c:pt>
                <c:pt idx="37">
                  <c:v>65.044000558737253</c:v>
                </c:pt>
                <c:pt idx="38">
                  <c:v>57.550852164800467</c:v>
                </c:pt>
                <c:pt idx="39">
                  <c:v>49.844805550483841</c:v>
                </c:pt>
                <c:pt idx="40">
                  <c:v>56.785370548604433</c:v>
                </c:pt>
                <c:pt idx="41">
                  <c:v>71.889148031280001</c:v>
                </c:pt>
                <c:pt idx="42">
                  <c:v>22.613714679531359</c:v>
                </c:pt>
                <c:pt idx="43">
                  <c:v>69.270373639305689</c:v>
                </c:pt>
                <c:pt idx="44">
                  <c:v>47.864978902953588</c:v>
                </c:pt>
                <c:pt idx="45">
                  <c:v>34.676079734219272</c:v>
                </c:pt>
                <c:pt idx="46">
                  <c:v>36.563307493540037</c:v>
                </c:pt>
                <c:pt idx="47">
                  <c:v>46.104452054794521</c:v>
                </c:pt>
                <c:pt idx="48">
                  <c:v>45.423877970079197</c:v>
                </c:pt>
                <c:pt idx="49">
                  <c:v>62.131098917395789</c:v>
                </c:pt>
                <c:pt idx="50">
                  <c:v>46.820027063599447</c:v>
                </c:pt>
                <c:pt idx="51">
                  <c:v>47.797072330654423</c:v>
                </c:pt>
                <c:pt idx="52">
                  <c:v>52.611534276387367</c:v>
                </c:pt>
                <c:pt idx="53">
                  <c:v>81.968983117393009</c:v>
                </c:pt>
                <c:pt idx="54">
                  <c:v>55.084470435347619</c:v>
                </c:pt>
                <c:pt idx="55">
                  <c:v>83.436299883119062</c:v>
                </c:pt>
                <c:pt idx="56">
                  <c:v>29.0210308056872</c:v>
                </c:pt>
                <c:pt idx="57">
                  <c:v>25.622775800711739</c:v>
                </c:pt>
                <c:pt idx="58">
                  <c:v>29.621507472384661</c:v>
                </c:pt>
                <c:pt idx="59">
                  <c:v>41.839234023602756</c:v>
                </c:pt>
                <c:pt idx="60">
                  <c:v>47.557997557997552</c:v>
                </c:pt>
                <c:pt idx="61">
                  <c:v>44.415718717683561</c:v>
                </c:pt>
                <c:pt idx="62">
                  <c:v>42.861339600470053</c:v>
                </c:pt>
                <c:pt idx="63">
                  <c:v>44.316644113667117</c:v>
                </c:pt>
                <c:pt idx="64">
                  <c:v>55.456011467478923</c:v>
                </c:pt>
                <c:pt idx="65">
                  <c:v>48.558347944671731</c:v>
                </c:pt>
                <c:pt idx="66">
                  <c:v>31.013106624158699</c:v>
                </c:pt>
                <c:pt idx="67">
                  <c:v>66.881308736512352</c:v>
                </c:pt>
              </c:numCache>
            </c:numRef>
          </c:val>
          <c:smooth val="0"/>
          <c:extLst>
            <c:ext xmlns:c16="http://schemas.microsoft.com/office/drawing/2014/chart" uri="{C3380CC4-5D6E-409C-BE32-E72D297353CC}">
              <c16:uniqueId val="{00000001-A0EA-431B-848F-3E32FC1394E3}"/>
            </c:ext>
          </c:extLst>
        </c:ser>
        <c:dLbls>
          <c:showLegendKey val="0"/>
          <c:showVal val="0"/>
          <c:showCatName val="0"/>
          <c:showSerName val="0"/>
          <c:showPercent val="0"/>
          <c:showBubbleSize val="0"/>
        </c:dLbls>
        <c:smooth val="0"/>
        <c:axId val="1442802543"/>
        <c:axId val="1442794223"/>
      </c:lineChart>
      <c:catAx>
        <c:axId val="1442802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4223"/>
        <c:crosses val="autoZero"/>
        <c:auto val="1"/>
        <c:lblAlgn val="ctr"/>
        <c:lblOffset val="100"/>
        <c:noMultiLvlLbl val="0"/>
      </c:catAx>
      <c:valAx>
        <c:axId val="1442794223"/>
        <c:scaling>
          <c:orientation val="minMax"/>
          <c:max val="9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543"/>
        <c:crosses val="autoZero"/>
        <c:crossBetween val="between"/>
        <c:majorUnit val="10"/>
        <c:minorUnit val="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Transport &amp; Communication</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7.8484055369690539E-2"/>
          <c:y val="0.14752941176470588"/>
          <c:w val="0.90887027323260006"/>
          <c:h val="0.63723715998568364"/>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'!$C$8:$C$75</c:f>
              <c:numCache>
                <c:formatCode>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0-3E13-45CC-8CF3-24B196ABD87C}"/>
            </c:ext>
          </c:extLst>
        </c:ser>
        <c:ser>
          <c:idx val="1"/>
          <c:order val="1"/>
          <c:tx>
            <c:strRef>
              <c:f>'5.2 '!$H$7</c:f>
              <c:strCache>
                <c:ptCount val="1"/>
                <c:pt idx="0">
                  <c:v>Transport &amp; Communication</c:v>
                </c:pt>
              </c:strCache>
            </c:strRef>
          </c:tx>
          <c:spPr>
            <a:ln w="28575" cap="rnd">
              <a:solidFill>
                <a:srgbClr val="D4C029"/>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'!$H$8:$H$75</c:f>
              <c:numCache>
                <c:formatCode>0.0</c:formatCode>
                <c:ptCount val="68"/>
                <c:pt idx="0">
                  <c:v>53.402462734931959</c:v>
                </c:pt>
                <c:pt idx="1">
                  <c:v>54.339440694310511</c:v>
                </c:pt>
                <c:pt idx="2">
                  <c:v>48.396201057252931</c:v>
                </c:pt>
                <c:pt idx="3">
                  <c:v>50.008959770629872</c:v>
                </c:pt>
                <c:pt idx="4">
                  <c:v>48.936170212765958</c:v>
                </c:pt>
                <c:pt idx="5">
                  <c:v>52.232545552949667</c:v>
                </c:pt>
                <c:pt idx="6">
                  <c:v>47.812702527543728</c:v>
                </c:pt>
                <c:pt idx="7">
                  <c:v>52.13185238265855</c:v>
                </c:pt>
                <c:pt idx="8">
                  <c:v>55.588440111420617</c:v>
                </c:pt>
                <c:pt idx="9">
                  <c:v>46.111975116640743</c:v>
                </c:pt>
                <c:pt idx="10">
                  <c:v>53.547357218871952</c:v>
                </c:pt>
                <c:pt idx="11">
                  <c:v>52.027729636048527</c:v>
                </c:pt>
                <c:pt idx="12">
                  <c:v>68.002136752136821</c:v>
                </c:pt>
                <c:pt idx="13">
                  <c:v>20.448717948717981</c:v>
                </c:pt>
                <c:pt idx="14">
                  <c:v>20.34428794992175</c:v>
                </c:pt>
                <c:pt idx="15">
                  <c:v>66.431924882629104</c:v>
                </c:pt>
                <c:pt idx="16">
                  <c:v>79.368029739776944</c:v>
                </c:pt>
                <c:pt idx="17">
                  <c:v>38.535353535353543</c:v>
                </c:pt>
                <c:pt idx="18">
                  <c:v>53.806297329613393</c:v>
                </c:pt>
                <c:pt idx="19">
                  <c:v>48.166666666666657</c:v>
                </c:pt>
                <c:pt idx="20">
                  <c:v>64.706940620092027</c:v>
                </c:pt>
                <c:pt idx="21">
                  <c:v>92.580340264650289</c:v>
                </c:pt>
                <c:pt idx="22">
                  <c:v>90.003974562798106</c:v>
                </c:pt>
                <c:pt idx="23">
                  <c:v>84.188948306595364</c:v>
                </c:pt>
                <c:pt idx="24">
                  <c:v>54.167366982375817</c:v>
                </c:pt>
                <c:pt idx="25">
                  <c:v>79.091784338896019</c:v>
                </c:pt>
                <c:pt idx="26">
                  <c:v>68.515562649640856</c:v>
                </c:pt>
                <c:pt idx="27">
                  <c:v>50</c:v>
                </c:pt>
                <c:pt idx="28">
                  <c:v>70.649558941459503</c:v>
                </c:pt>
                <c:pt idx="29">
                  <c:v>17.722602739726039</c:v>
                </c:pt>
                <c:pt idx="30">
                  <c:v>12.08749040675364</c:v>
                </c:pt>
                <c:pt idx="31">
                  <c:v>82.957012592270942</c:v>
                </c:pt>
                <c:pt idx="32">
                  <c:v>50.425436632333188</c:v>
                </c:pt>
                <c:pt idx="33">
                  <c:v>20.029027576197389</c:v>
                </c:pt>
                <c:pt idx="34">
                  <c:v>38.371490384140728</c:v>
                </c:pt>
                <c:pt idx="35">
                  <c:v>83.005038937242318</c:v>
                </c:pt>
                <c:pt idx="36">
                  <c:v>17.77991350312351</c:v>
                </c:pt>
                <c:pt idx="37">
                  <c:v>48.749431559799909</c:v>
                </c:pt>
                <c:pt idx="38">
                  <c:v>52.181074492290598</c:v>
                </c:pt>
                <c:pt idx="39">
                  <c:v>52.166596550273447</c:v>
                </c:pt>
                <c:pt idx="40">
                  <c:v>60.133630289532299</c:v>
                </c:pt>
                <c:pt idx="41">
                  <c:v>20.081595648232099</c:v>
                </c:pt>
                <c:pt idx="42">
                  <c:v>83.950617283950606</c:v>
                </c:pt>
                <c:pt idx="43">
                  <c:v>84.845605700712582</c:v>
                </c:pt>
                <c:pt idx="44">
                  <c:v>50.131233595800524</c:v>
                </c:pt>
                <c:pt idx="45">
                  <c:v>17.629046369203859</c:v>
                </c:pt>
                <c:pt idx="46">
                  <c:v>50.831146106736661</c:v>
                </c:pt>
                <c:pt idx="47">
                  <c:v>47.594050743657043</c:v>
                </c:pt>
                <c:pt idx="48">
                  <c:v>85.066162570888466</c:v>
                </c:pt>
                <c:pt idx="49">
                  <c:v>42.71653543307086</c:v>
                </c:pt>
                <c:pt idx="50">
                  <c:v>84.63035019455252</c:v>
                </c:pt>
                <c:pt idx="51">
                  <c:v>48.228346456692911</c:v>
                </c:pt>
                <c:pt idx="52">
                  <c:v>87.159533073929964</c:v>
                </c:pt>
                <c:pt idx="53">
                  <c:v>15.93235425011127</c:v>
                </c:pt>
                <c:pt idx="54">
                  <c:v>10.99464763603925</c:v>
                </c:pt>
                <c:pt idx="55">
                  <c:v>21.60658655985759</c:v>
                </c:pt>
                <c:pt idx="56">
                  <c:v>80.6282722513089</c:v>
                </c:pt>
                <c:pt idx="57">
                  <c:v>28.973077146060731</c:v>
                </c:pt>
                <c:pt idx="58">
                  <c:v>89.208339903861514</c:v>
                </c:pt>
                <c:pt idx="59">
                  <c:v>72.223360100175043</c:v>
                </c:pt>
                <c:pt idx="60">
                  <c:v>84.738875737526882</c:v>
                </c:pt>
                <c:pt idx="61">
                  <c:v>6.1733666984480067</c:v>
                </c:pt>
                <c:pt idx="62">
                  <c:v>75.538194643738152</c:v>
                </c:pt>
                <c:pt idx="63">
                  <c:v>36.233480176211458</c:v>
                </c:pt>
                <c:pt idx="64">
                  <c:v>93.594889168110825</c:v>
                </c:pt>
                <c:pt idx="65">
                  <c:v>16.89210443535703</c:v>
                </c:pt>
                <c:pt idx="66">
                  <c:v>33.495603015075368</c:v>
                </c:pt>
                <c:pt idx="67">
                  <c:v>70.619946091644209</c:v>
                </c:pt>
              </c:numCache>
            </c:numRef>
          </c:val>
          <c:smooth val="0"/>
          <c:extLst>
            <c:ext xmlns:c16="http://schemas.microsoft.com/office/drawing/2014/chart" uri="{C3380CC4-5D6E-409C-BE32-E72D297353CC}">
              <c16:uniqueId val="{00000001-3E13-45CC-8CF3-24B196ABD87C}"/>
            </c:ext>
          </c:extLst>
        </c:ser>
        <c:dLbls>
          <c:showLegendKey val="0"/>
          <c:showVal val="0"/>
          <c:showCatName val="0"/>
          <c:showSerName val="0"/>
          <c:showPercent val="0"/>
          <c:showBubbleSize val="0"/>
        </c:dLbls>
        <c:smooth val="0"/>
        <c:axId val="1386758303"/>
        <c:axId val="1386756223"/>
      </c:lineChart>
      <c:catAx>
        <c:axId val="1386758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6223"/>
        <c:crosses val="autoZero"/>
        <c:auto val="1"/>
        <c:lblAlgn val="ctr"/>
        <c:lblOffset val="100"/>
        <c:noMultiLvlLbl val="0"/>
      </c:catAx>
      <c:valAx>
        <c:axId val="1386756223"/>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83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rgbClr val="006E59"/>
                </a:solidFill>
                <a:latin typeface="Geomanist" panose="02000503000000020004" pitchFamily="50" charset="0"/>
                <a:ea typeface="+mn-ea"/>
                <a:cs typeface="+mn-cs"/>
              </a:defRPr>
            </a:pPr>
            <a:r>
              <a:rPr lang="en-US" sz="1050" b="1">
                <a:solidFill>
                  <a:srgbClr val="006E59"/>
                </a:solidFill>
                <a:latin typeface="Geomanist" panose="02000503000000020004" pitchFamily="50" charset="0"/>
              </a:rPr>
              <a:t>Agriculture, Forestry, Fisheries &amp; Livestock</a:t>
            </a:r>
          </a:p>
        </c:rich>
      </c:tx>
      <c:overlay val="0"/>
      <c:spPr>
        <a:noFill/>
        <a:ln>
          <a:noFill/>
        </a:ln>
        <a:effectLst/>
      </c:spPr>
      <c:txPr>
        <a:bodyPr rot="0" spcFirstLastPara="1" vertOverflow="ellipsis" vert="horz" wrap="square" anchor="ctr" anchorCtr="1"/>
        <a:lstStyle/>
        <a:p>
          <a:pPr>
            <a:defRPr sz="105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'!$C$8:$C$75</c:f>
              <c:numCache>
                <c:formatCode>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0-B7C6-42D6-91D8-BBEB98359535}"/>
            </c:ext>
          </c:extLst>
        </c:ser>
        <c:ser>
          <c:idx val="1"/>
          <c:order val="1"/>
          <c:tx>
            <c:strRef>
              <c:f>'5.2 '!$I$7</c:f>
              <c:strCache>
                <c:ptCount val="1"/>
                <c:pt idx="0">
                  <c:v>Agriculture, Forestry, Fisheries &amp; Livestock</c:v>
                </c:pt>
              </c:strCache>
            </c:strRef>
          </c:tx>
          <c:spPr>
            <a:ln w="28575" cap="rnd">
              <a:solidFill>
                <a:srgbClr val="D4C029"/>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'!$I$8:$I$75</c:f>
              <c:numCache>
                <c:formatCode>0.0</c:formatCode>
                <c:ptCount val="68"/>
                <c:pt idx="0">
                  <c:v>50.714285714285722</c:v>
                </c:pt>
                <c:pt idx="1">
                  <c:v>52.635486265775818</c:v>
                </c:pt>
                <c:pt idx="2">
                  <c:v>48.492907801418433</c:v>
                </c:pt>
                <c:pt idx="3">
                  <c:v>49.51014695591325</c:v>
                </c:pt>
                <c:pt idx="4">
                  <c:v>61.994002998500768</c:v>
                </c:pt>
                <c:pt idx="5">
                  <c:v>72.098053352559504</c:v>
                </c:pt>
                <c:pt idx="6">
                  <c:v>74.360236220472444</c:v>
                </c:pt>
                <c:pt idx="7">
                  <c:v>48.886827458256043</c:v>
                </c:pt>
                <c:pt idx="8">
                  <c:v>69.139596136962254</c:v>
                </c:pt>
                <c:pt idx="9">
                  <c:v>75.618945102260497</c:v>
                </c:pt>
                <c:pt idx="10">
                  <c:v>67.208121827411176</c:v>
                </c:pt>
                <c:pt idx="11">
                  <c:v>73.336853220696952</c:v>
                </c:pt>
                <c:pt idx="12">
                  <c:v>68.637803590285131</c:v>
                </c:pt>
                <c:pt idx="13">
                  <c:v>51.072796934865927</c:v>
                </c:pt>
                <c:pt idx="14">
                  <c:v>52.626362735381562</c:v>
                </c:pt>
                <c:pt idx="15">
                  <c:v>53.754813863928113</c:v>
                </c:pt>
                <c:pt idx="16">
                  <c:v>80.476485148514854</c:v>
                </c:pt>
                <c:pt idx="17">
                  <c:v>50.698438783894836</c:v>
                </c:pt>
                <c:pt idx="18">
                  <c:v>38.629737609329453</c:v>
                </c:pt>
                <c:pt idx="19">
                  <c:v>48.385885885885891</c:v>
                </c:pt>
                <c:pt idx="20">
                  <c:v>43.861329204726268</c:v>
                </c:pt>
                <c:pt idx="21">
                  <c:v>64.151651651651648</c:v>
                </c:pt>
                <c:pt idx="22">
                  <c:v>51.327433628318587</c:v>
                </c:pt>
                <c:pt idx="23">
                  <c:v>55.780141843971641</c:v>
                </c:pt>
                <c:pt idx="24">
                  <c:v>43.302096139286462</c:v>
                </c:pt>
                <c:pt idx="25">
                  <c:v>45.417956656346753</c:v>
                </c:pt>
                <c:pt idx="26">
                  <c:v>48.490888382687928</c:v>
                </c:pt>
                <c:pt idx="27">
                  <c:v>68.168604651162781</c:v>
                </c:pt>
                <c:pt idx="28">
                  <c:v>56.734816596512317</c:v>
                </c:pt>
                <c:pt idx="29">
                  <c:v>59.450277949351452</c:v>
                </c:pt>
                <c:pt idx="30">
                  <c:v>47.126081582200243</c:v>
                </c:pt>
                <c:pt idx="31">
                  <c:v>59.666080843585242</c:v>
                </c:pt>
                <c:pt idx="32">
                  <c:v>52.637818612922352</c:v>
                </c:pt>
                <c:pt idx="33">
                  <c:v>50.419916016796641</c:v>
                </c:pt>
                <c:pt idx="34">
                  <c:v>41.852573270394657</c:v>
                </c:pt>
                <c:pt idx="35">
                  <c:v>44.841269841269842</c:v>
                </c:pt>
                <c:pt idx="36">
                  <c:v>50.061425061425062</c:v>
                </c:pt>
                <c:pt idx="37">
                  <c:v>48.446069469835457</c:v>
                </c:pt>
                <c:pt idx="38">
                  <c:v>48.478899393231991</c:v>
                </c:pt>
                <c:pt idx="39">
                  <c:v>49.16820702402957</c:v>
                </c:pt>
                <c:pt idx="40">
                  <c:v>72.34567901234567</c:v>
                </c:pt>
                <c:pt idx="41">
                  <c:v>72.497089639115245</c:v>
                </c:pt>
                <c:pt idx="42">
                  <c:v>54.828199052132703</c:v>
                </c:pt>
                <c:pt idx="43">
                  <c:v>60.783752860411923</c:v>
                </c:pt>
                <c:pt idx="44">
                  <c:v>62.984261501210668</c:v>
                </c:pt>
                <c:pt idx="45">
                  <c:v>48.695652173913018</c:v>
                </c:pt>
                <c:pt idx="46">
                  <c:v>56.746031746031761</c:v>
                </c:pt>
                <c:pt idx="47">
                  <c:v>41.919191919191931</c:v>
                </c:pt>
                <c:pt idx="48">
                  <c:v>39.657176060429968</c:v>
                </c:pt>
                <c:pt idx="49">
                  <c:v>65.310187820147988</c:v>
                </c:pt>
                <c:pt idx="50">
                  <c:v>51.238207547169807</c:v>
                </c:pt>
                <c:pt idx="51">
                  <c:v>48.631950573698148</c:v>
                </c:pt>
                <c:pt idx="52">
                  <c:v>37.142857142857132</c:v>
                </c:pt>
                <c:pt idx="53">
                  <c:v>65.958213256484171</c:v>
                </c:pt>
                <c:pt idx="54">
                  <c:v>43.423137876386683</c:v>
                </c:pt>
                <c:pt idx="55">
                  <c:v>61.978798586572452</c:v>
                </c:pt>
                <c:pt idx="56">
                  <c:v>44.502801120448161</c:v>
                </c:pt>
                <c:pt idx="57">
                  <c:v>47.466063348416263</c:v>
                </c:pt>
                <c:pt idx="58">
                  <c:v>46.832770270270267</c:v>
                </c:pt>
                <c:pt idx="59">
                  <c:v>55.9656652360515</c:v>
                </c:pt>
                <c:pt idx="60">
                  <c:v>53.480589022757712</c:v>
                </c:pt>
                <c:pt idx="61">
                  <c:v>73.565804274465705</c:v>
                </c:pt>
                <c:pt idx="62">
                  <c:v>40.602055800293691</c:v>
                </c:pt>
                <c:pt idx="63">
                  <c:v>51.624815361890697</c:v>
                </c:pt>
                <c:pt idx="64">
                  <c:v>39.69315499606607</c:v>
                </c:pt>
                <c:pt idx="65">
                  <c:v>54.11392405063291</c:v>
                </c:pt>
                <c:pt idx="66">
                  <c:v>49.679943100995729</c:v>
                </c:pt>
                <c:pt idx="67">
                  <c:v>69.435075885328828</c:v>
                </c:pt>
              </c:numCache>
            </c:numRef>
          </c:val>
          <c:smooth val="0"/>
          <c:extLst>
            <c:ext xmlns:c16="http://schemas.microsoft.com/office/drawing/2014/chart" uri="{C3380CC4-5D6E-409C-BE32-E72D297353CC}">
              <c16:uniqueId val="{00000001-B7C6-42D6-91D8-BBEB98359535}"/>
            </c:ext>
          </c:extLst>
        </c:ser>
        <c:dLbls>
          <c:showLegendKey val="0"/>
          <c:showVal val="0"/>
          <c:showCatName val="0"/>
          <c:showSerName val="0"/>
          <c:showPercent val="0"/>
          <c:showBubbleSize val="0"/>
        </c:dLbls>
        <c:smooth val="0"/>
        <c:axId val="1442795887"/>
        <c:axId val="1442799215"/>
      </c:lineChart>
      <c:catAx>
        <c:axId val="1442795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9215"/>
        <c:crosses val="autoZero"/>
        <c:auto val="1"/>
        <c:lblAlgn val="ctr"/>
        <c:lblOffset val="100"/>
        <c:noMultiLvlLbl val="0"/>
      </c:catAx>
      <c:valAx>
        <c:axId val="1442799215"/>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58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1.2: </a:t>
            </a:r>
            <a:r>
              <a:rPr lang="en-US" sz="2000">
                <a:solidFill>
                  <a:srgbClr val="D4C029"/>
                </a:solidFill>
                <a:latin typeface="Heuristica" panose="02020603050705020204" pitchFamily="18" charset="0"/>
              </a:rPr>
              <a:t>Monetary Aggregates</a:t>
            </a:r>
          </a:p>
        </c:rich>
      </c:tx>
      <c:layout>
        <c:manualLayout>
          <c:xMode val="edge"/>
          <c:yMode val="edge"/>
          <c:x val="0.32697947214076245"/>
          <c:y val="1.0774357750735703E-2"/>
        </c:manualLayout>
      </c:layout>
      <c:overlay val="0"/>
    </c:title>
    <c:autoTitleDeleted val="0"/>
    <c:plotArea>
      <c:layout>
        <c:manualLayout>
          <c:layoutTarget val="inner"/>
          <c:xMode val="edge"/>
          <c:yMode val="edge"/>
          <c:x val="9.4928879857759718E-2"/>
          <c:y val="6.5711286089238846E-2"/>
          <c:w val="0.89206283048929735"/>
          <c:h val="0.77092865664519206"/>
        </c:manualLayout>
      </c:layout>
      <c:lineChart>
        <c:grouping val="standard"/>
        <c:varyColors val="0"/>
        <c:ser>
          <c:idx val="0"/>
          <c:order val="0"/>
          <c:tx>
            <c:v>Narrow Money</c:v>
          </c:tx>
          <c:spPr>
            <a:ln>
              <a:solidFill>
                <a:schemeClr val="tx1">
                  <a:lumMod val="75000"/>
                  <a:lumOff val="2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C-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0D-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0E-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0F-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10-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11-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12-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13-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14-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15-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16-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17-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18-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19-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1A-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1B-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1C-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1D-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1E-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1F-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20-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21-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22-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23-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95-6DE8-4731-B803-96064405E682}"/>
                </c:ext>
              </c:extLst>
            </c:dLbl>
            <c:dLbl>
              <c:idx val="25"/>
              <c:delete val="1"/>
              <c:extLst>
                <c:ext xmlns:c15="http://schemas.microsoft.com/office/drawing/2012/chart" uri="{CE6537A1-D6FC-4f65-9D91-7224C49458BB}"/>
                <c:ext xmlns:c16="http://schemas.microsoft.com/office/drawing/2014/chart" uri="{C3380CC4-5D6E-409C-BE32-E72D297353CC}">
                  <c16:uniqueId val="{00000094-6DE8-4731-B803-96064405E682}"/>
                </c:ext>
              </c:extLst>
            </c:dLbl>
            <c:dLbl>
              <c:idx val="26"/>
              <c:delete val="1"/>
              <c:extLst>
                <c:ext xmlns:c15="http://schemas.microsoft.com/office/drawing/2012/chart" uri="{CE6537A1-D6FC-4f65-9D91-7224C49458BB}"/>
                <c:ext xmlns:c16="http://schemas.microsoft.com/office/drawing/2014/chart" uri="{C3380CC4-5D6E-409C-BE32-E72D297353CC}">
                  <c16:uniqueId val="{00000093-6DE8-4731-B803-96064405E682}"/>
                </c:ext>
              </c:extLst>
            </c:dLbl>
            <c:dLbl>
              <c:idx val="27"/>
              <c:delete val="1"/>
              <c:extLst>
                <c:ext xmlns:c15="http://schemas.microsoft.com/office/drawing/2012/chart" uri="{CE6537A1-D6FC-4f65-9D91-7224C49458BB}"/>
                <c:ext xmlns:c16="http://schemas.microsoft.com/office/drawing/2014/chart" uri="{C3380CC4-5D6E-409C-BE32-E72D297353CC}">
                  <c16:uniqueId val="{00000091-6DE8-4731-B803-96064405E682}"/>
                </c:ext>
              </c:extLst>
            </c:dLbl>
            <c:dLbl>
              <c:idx val="28"/>
              <c:delete val="1"/>
              <c:extLst>
                <c:ext xmlns:c15="http://schemas.microsoft.com/office/drawing/2012/chart" uri="{CE6537A1-D6FC-4f65-9D91-7224C49458BB}"/>
                <c:ext xmlns:c16="http://schemas.microsoft.com/office/drawing/2014/chart" uri="{C3380CC4-5D6E-409C-BE32-E72D297353CC}">
                  <c16:uniqueId val="{00000092-6DE8-4731-B803-96064405E682}"/>
                </c:ext>
              </c:extLst>
            </c:dLbl>
            <c:dLbl>
              <c:idx val="29"/>
              <c:delete val="1"/>
              <c:extLst>
                <c:ext xmlns:c15="http://schemas.microsoft.com/office/drawing/2012/chart" uri="{CE6537A1-D6FC-4f65-9D91-7224C49458BB}"/>
                <c:ext xmlns:c16="http://schemas.microsoft.com/office/drawing/2014/chart" uri="{C3380CC4-5D6E-409C-BE32-E72D297353CC}">
                  <c16:uniqueId val="{00000090-6DE8-4731-B803-96064405E682}"/>
                </c:ext>
              </c:extLst>
            </c:dLbl>
            <c:dLbl>
              <c:idx val="30"/>
              <c:delete val="1"/>
              <c:extLst>
                <c:ext xmlns:c15="http://schemas.microsoft.com/office/drawing/2012/chart" uri="{CE6537A1-D6FC-4f65-9D91-7224C49458BB}"/>
                <c:ext xmlns:c16="http://schemas.microsoft.com/office/drawing/2014/chart" uri="{C3380CC4-5D6E-409C-BE32-E72D297353CC}">
                  <c16:uniqueId val="{0000008F-6DE8-4731-B803-96064405E682}"/>
                </c:ext>
              </c:extLst>
            </c:dLbl>
            <c:dLbl>
              <c:idx val="31"/>
              <c:delete val="1"/>
              <c:extLst>
                <c:ext xmlns:c15="http://schemas.microsoft.com/office/drawing/2012/chart" uri="{CE6537A1-D6FC-4f65-9D91-7224C49458BB}"/>
                <c:ext xmlns:c16="http://schemas.microsoft.com/office/drawing/2014/chart" uri="{C3380CC4-5D6E-409C-BE32-E72D297353CC}">
                  <c16:uniqueId val="{0000008E-6DE8-4731-B803-96064405E682}"/>
                </c:ext>
              </c:extLst>
            </c:dLbl>
            <c:dLbl>
              <c:idx val="32"/>
              <c:delete val="1"/>
              <c:extLst>
                <c:ext xmlns:c15="http://schemas.microsoft.com/office/drawing/2012/chart" uri="{CE6537A1-D6FC-4f65-9D91-7224C49458BB}"/>
                <c:ext xmlns:c16="http://schemas.microsoft.com/office/drawing/2014/chart" uri="{C3380CC4-5D6E-409C-BE32-E72D297353CC}">
                  <c16:uniqueId val="{0000008D-6DE8-4731-B803-96064405E682}"/>
                </c:ext>
              </c:extLst>
            </c:dLbl>
            <c:dLbl>
              <c:idx val="33"/>
              <c:delete val="1"/>
              <c:extLst>
                <c:ext xmlns:c15="http://schemas.microsoft.com/office/drawing/2012/chart" uri="{CE6537A1-D6FC-4f65-9D91-7224C49458BB}"/>
                <c:ext xmlns:c16="http://schemas.microsoft.com/office/drawing/2014/chart" uri="{C3380CC4-5D6E-409C-BE32-E72D297353CC}">
                  <c16:uniqueId val="{0000008C-6DE8-4731-B803-96064405E682}"/>
                </c:ext>
              </c:extLst>
            </c:dLbl>
            <c:dLbl>
              <c:idx val="34"/>
              <c:delete val="1"/>
              <c:extLst>
                <c:ext xmlns:c15="http://schemas.microsoft.com/office/drawing/2012/chart" uri="{CE6537A1-D6FC-4f65-9D91-7224C49458BB}"/>
                <c:ext xmlns:c16="http://schemas.microsoft.com/office/drawing/2014/chart" uri="{C3380CC4-5D6E-409C-BE32-E72D297353CC}">
                  <c16:uniqueId val="{0000008B-6DE8-4731-B803-96064405E682}"/>
                </c:ext>
              </c:extLst>
            </c:dLbl>
            <c:dLbl>
              <c:idx val="35"/>
              <c:delete val="1"/>
              <c:extLst>
                <c:ext xmlns:c15="http://schemas.microsoft.com/office/drawing/2012/chart" uri="{CE6537A1-D6FC-4f65-9D91-7224C49458BB}"/>
                <c:ext xmlns:c16="http://schemas.microsoft.com/office/drawing/2014/chart" uri="{C3380CC4-5D6E-409C-BE32-E72D297353CC}">
                  <c16:uniqueId val="{0000008A-6DE8-4731-B803-96064405E682}"/>
                </c:ext>
              </c:extLst>
            </c:dLbl>
            <c:dLbl>
              <c:idx val="36"/>
              <c:delete val="1"/>
              <c:extLst>
                <c:ext xmlns:c15="http://schemas.microsoft.com/office/drawing/2012/chart" uri="{CE6537A1-D6FC-4f65-9D91-7224C49458BB}"/>
                <c:ext xmlns:c16="http://schemas.microsoft.com/office/drawing/2014/chart" uri="{C3380CC4-5D6E-409C-BE32-E72D297353CC}">
                  <c16:uniqueId val="{00000001-CAB2-4E2F-9378-EE3BD45BCDC1}"/>
                </c:ext>
              </c:extLst>
            </c:dLbl>
            <c:dLbl>
              <c:idx val="37"/>
              <c:delete val="1"/>
              <c:extLst>
                <c:ext xmlns:c15="http://schemas.microsoft.com/office/drawing/2012/chart" uri="{CE6537A1-D6FC-4f65-9D91-7224C49458BB}"/>
                <c:ext xmlns:c16="http://schemas.microsoft.com/office/drawing/2014/chart" uri="{C3380CC4-5D6E-409C-BE32-E72D297353CC}">
                  <c16:uniqueId val="{00000002-CAB2-4E2F-9378-EE3BD45BCDC1}"/>
                </c:ext>
              </c:extLst>
            </c:dLbl>
            <c:dLbl>
              <c:idx val="38"/>
              <c:delete val="1"/>
              <c:extLst>
                <c:ext xmlns:c15="http://schemas.microsoft.com/office/drawing/2012/chart" uri="{CE6537A1-D6FC-4f65-9D91-7224C49458BB}"/>
                <c:ext xmlns:c16="http://schemas.microsoft.com/office/drawing/2014/chart" uri="{C3380CC4-5D6E-409C-BE32-E72D297353CC}">
                  <c16:uniqueId val="{00000006-CAB2-4E2F-9378-EE3BD45BCDC1}"/>
                </c:ext>
              </c:extLst>
            </c:dLbl>
            <c:dLbl>
              <c:idx val="39"/>
              <c:delete val="1"/>
              <c:extLst>
                <c:ext xmlns:c15="http://schemas.microsoft.com/office/drawing/2012/chart" uri="{CE6537A1-D6FC-4f65-9D91-7224C49458BB}"/>
                <c:ext xmlns:c16="http://schemas.microsoft.com/office/drawing/2014/chart" uri="{C3380CC4-5D6E-409C-BE32-E72D297353CC}">
                  <c16:uniqueId val="{00000000-711C-452C-A8B4-F6E980912887}"/>
                </c:ext>
              </c:extLst>
            </c:dLbl>
            <c:dLbl>
              <c:idx val="40"/>
              <c:delete val="1"/>
              <c:extLst>
                <c:ext xmlns:c15="http://schemas.microsoft.com/office/drawing/2012/chart" uri="{CE6537A1-D6FC-4f65-9D91-7224C49458BB}"/>
                <c:ext xmlns:c16="http://schemas.microsoft.com/office/drawing/2014/chart" uri="{C3380CC4-5D6E-409C-BE32-E72D297353CC}">
                  <c16:uniqueId val="{00000001-711C-452C-A8B4-F6E980912887}"/>
                </c:ext>
              </c:extLst>
            </c:dLbl>
            <c:dLbl>
              <c:idx val="41"/>
              <c:delete val="1"/>
              <c:extLst>
                <c:ext xmlns:c15="http://schemas.microsoft.com/office/drawing/2012/chart" uri="{CE6537A1-D6FC-4f65-9D91-7224C49458BB}"/>
                <c:ext xmlns:c16="http://schemas.microsoft.com/office/drawing/2014/chart" uri="{C3380CC4-5D6E-409C-BE32-E72D297353CC}">
                  <c16:uniqueId val="{00000002-711C-452C-A8B4-F6E980912887}"/>
                </c:ext>
              </c:extLst>
            </c:dLbl>
            <c:dLbl>
              <c:idx val="42"/>
              <c:delete val="1"/>
              <c:extLst>
                <c:ext xmlns:c15="http://schemas.microsoft.com/office/drawing/2012/chart" uri="{CE6537A1-D6FC-4f65-9D91-7224C49458BB}"/>
                <c:ext xmlns:c16="http://schemas.microsoft.com/office/drawing/2014/chart" uri="{C3380CC4-5D6E-409C-BE32-E72D297353CC}">
                  <c16:uniqueId val="{00000006-B628-4BAE-A7C1-10CFEFCF6645}"/>
                </c:ext>
              </c:extLst>
            </c:dLbl>
            <c:dLbl>
              <c:idx val="43"/>
              <c:delete val="1"/>
              <c:extLst>
                <c:ext xmlns:c15="http://schemas.microsoft.com/office/drawing/2012/chart" uri="{CE6537A1-D6FC-4f65-9D91-7224C49458BB}"/>
                <c:ext xmlns:c16="http://schemas.microsoft.com/office/drawing/2014/chart" uri="{C3380CC4-5D6E-409C-BE32-E72D297353CC}">
                  <c16:uniqueId val="{00000007-B628-4BAE-A7C1-10CFEFCF6645}"/>
                </c:ext>
              </c:extLst>
            </c:dLbl>
            <c:dLbl>
              <c:idx val="44"/>
              <c:delete val="1"/>
              <c:extLst>
                <c:ext xmlns:c15="http://schemas.microsoft.com/office/drawing/2012/chart" uri="{CE6537A1-D6FC-4f65-9D91-7224C49458BB}"/>
                <c:ext xmlns:c16="http://schemas.microsoft.com/office/drawing/2014/chart" uri="{C3380CC4-5D6E-409C-BE32-E72D297353CC}">
                  <c16:uniqueId val="{00000008-B628-4BAE-A7C1-10CFEFCF6645}"/>
                </c:ext>
              </c:extLst>
            </c:dLbl>
            <c:dLbl>
              <c:idx val="45"/>
              <c:delete val="1"/>
              <c:extLst>
                <c:ext xmlns:c15="http://schemas.microsoft.com/office/drawing/2012/chart" uri="{CE6537A1-D6FC-4f65-9D91-7224C49458BB}"/>
                <c:ext xmlns:c16="http://schemas.microsoft.com/office/drawing/2014/chart" uri="{C3380CC4-5D6E-409C-BE32-E72D297353CC}">
                  <c16:uniqueId val="{00000001-EE86-48DF-8198-D911B604C9A9}"/>
                </c:ext>
              </c:extLst>
            </c:dLbl>
            <c:dLbl>
              <c:idx val="46"/>
              <c:delete val="1"/>
              <c:extLst>
                <c:ext xmlns:c15="http://schemas.microsoft.com/office/drawing/2012/chart" uri="{CE6537A1-D6FC-4f65-9D91-7224C49458BB}"/>
                <c:ext xmlns:c16="http://schemas.microsoft.com/office/drawing/2014/chart" uri="{C3380CC4-5D6E-409C-BE32-E72D297353CC}">
                  <c16:uniqueId val="{00000002-EE86-48DF-8198-D911B604C9A9}"/>
                </c:ext>
              </c:extLst>
            </c:dLbl>
            <c:dLbl>
              <c:idx val="47"/>
              <c:delete val="1"/>
              <c:extLst>
                <c:ext xmlns:c15="http://schemas.microsoft.com/office/drawing/2012/chart" uri="{CE6537A1-D6FC-4f65-9D91-7224C49458BB}"/>
                <c:ext xmlns:c16="http://schemas.microsoft.com/office/drawing/2014/chart" uri="{C3380CC4-5D6E-409C-BE32-E72D297353CC}">
                  <c16:uniqueId val="{00000000-EE86-48DF-8198-D911B604C9A9}"/>
                </c:ext>
              </c:extLst>
            </c:dLbl>
            <c:dLbl>
              <c:idx val="48"/>
              <c:delete val="1"/>
              <c:extLst>
                <c:ext xmlns:c15="http://schemas.microsoft.com/office/drawing/2012/chart" uri="{CE6537A1-D6FC-4f65-9D91-7224C49458BB}"/>
                <c:ext xmlns:c16="http://schemas.microsoft.com/office/drawing/2014/chart" uri="{C3380CC4-5D6E-409C-BE32-E72D297353CC}">
                  <c16:uniqueId val="{00000008-3A76-4905-9554-7B255E8A9E17}"/>
                </c:ext>
              </c:extLst>
            </c:dLbl>
            <c:dLbl>
              <c:idx val="49"/>
              <c:delete val="1"/>
              <c:extLst>
                <c:ext xmlns:c15="http://schemas.microsoft.com/office/drawing/2012/chart" uri="{CE6537A1-D6FC-4f65-9D91-7224C49458BB}"/>
                <c:ext xmlns:c16="http://schemas.microsoft.com/office/drawing/2014/chart" uri="{C3380CC4-5D6E-409C-BE32-E72D297353CC}">
                  <c16:uniqueId val="{00000007-3A76-4905-9554-7B255E8A9E17}"/>
                </c:ext>
              </c:extLst>
            </c:dLbl>
            <c:dLbl>
              <c:idx val="50"/>
              <c:delete val="1"/>
              <c:extLst>
                <c:ext xmlns:c15="http://schemas.microsoft.com/office/drawing/2012/chart" uri="{CE6537A1-D6FC-4f65-9D91-7224C49458BB}"/>
                <c:ext xmlns:c16="http://schemas.microsoft.com/office/drawing/2014/chart" uri="{C3380CC4-5D6E-409C-BE32-E72D297353CC}">
                  <c16:uniqueId val="{00000006-3A76-4905-9554-7B255E8A9E17}"/>
                </c:ext>
              </c:extLst>
            </c:dLbl>
            <c:dLbl>
              <c:idx val="51"/>
              <c:delete val="1"/>
              <c:extLst>
                <c:ext xmlns:c15="http://schemas.microsoft.com/office/drawing/2012/chart" uri="{CE6537A1-D6FC-4f65-9D91-7224C49458BB}"/>
                <c:ext xmlns:c16="http://schemas.microsoft.com/office/drawing/2014/chart" uri="{C3380CC4-5D6E-409C-BE32-E72D297353CC}">
                  <c16:uniqueId val="{00000002-DE13-4953-9C89-6DBFA86D7BEA}"/>
                </c:ext>
              </c:extLst>
            </c:dLbl>
            <c:dLbl>
              <c:idx val="52"/>
              <c:delete val="1"/>
              <c:extLst>
                <c:ext xmlns:c15="http://schemas.microsoft.com/office/drawing/2012/chart" uri="{CE6537A1-D6FC-4f65-9D91-7224C49458BB}"/>
                <c:ext xmlns:c16="http://schemas.microsoft.com/office/drawing/2014/chart" uri="{C3380CC4-5D6E-409C-BE32-E72D297353CC}">
                  <c16:uniqueId val="{00000001-DE13-4953-9C89-6DBFA86D7BEA}"/>
                </c:ext>
              </c:extLst>
            </c:dLbl>
            <c:dLbl>
              <c:idx val="53"/>
              <c:delete val="1"/>
              <c:extLst>
                <c:ext xmlns:c15="http://schemas.microsoft.com/office/drawing/2012/chart" uri="{CE6537A1-D6FC-4f65-9D91-7224C49458BB}"/>
                <c:ext xmlns:c16="http://schemas.microsoft.com/office/drawing/2014/chart" uri="{C3380CC4-5D6E-409C-BE32-E72D297353CC}">
                  <c16:uniqueId val="{00000000-DE13-4953-9C89-6DBFA86D7BEA}"/>
                </c:ext>
              </c:extLst>
            </c:dLbl>
            <c:dLbl>
              <c:idx val="54"/>
              <c:delete val="1"/>
              <c:extLst>
                <c:ext xmlns:c15="http://schemas.microsoft.com/office/drawing/2012/chart" uri="{CE6537A1-D6FC-4f65-9D91-7224C49458BB}"/>
                <c:ext xmlns:c16="http://schemas.microsoft.com/office/drawing/2014/chart" uri="{C3380CC4-5D6E-409C-BE32-E72D297353CC}">
                  <c16:uniqueId val="{0000002A-73E5-4933-BCE6-949CBF804AF5}"/>
                </c:ext>
              </c:extLst>
            </c:dLbl>
            <c:dLbl>
              <c:idx val="55"/>
              <c:delete val="1"/>
              <c:extLst>
                <c:ext xmlns:c15="http://schemas.microsoft.com/office/drawing/2012/chart" uri="{CE6537A1-D6FC-4f65-9D91-7224C49458BB}"/>
                <c:ext xmlns:c16="http://schemas.microsoft.com/office/drawing/2014/chart" uri="{C3380CC4-5D6E-409C-BE32-E72D297353CC}">
                  <c16:uniqueId val="{0000002C-73E5-4933-BCE6-949CBF804AF5}"/>
                </c:ext>
              </c:extLst>
            </c:dLbl>
            <c:dLbl>
              <c:idx val="56"/>
              <c:delete val="1"/>
              <c:extLst>
                <c:ext xmlns:c15="http://schemas.microsoft.com/office/drawing/2012/chart" uri="{CE6537A1-D6FC-4f65-9D91-7224C49458BB}"/>
                <c:ext xmlns:c16="http://schemas.microsoft.com/office/drawing/2014/chart" uri="{C3380CC4-5D6E-409C-BE32-E72D297353CC}">
                  <c16:uniqueId val="{0000002B-73E5-4933-BCE6-949CBF804AF5}"/>
                </c:ext>
              </c:extLst>
            </c:dLbl>
            <c:dLbl>
              <c:idx val="57"/>
              <c:delete val="1"/>
              <c:extLst>
                <c:ext xmlns:c15="http://schemas.microsoft.com/office/drawing/2012/chart" uri="{CE6537A1-D6FC-4f65-9D91-7224C49458BB}"/>
                <c:ext xmlns:c16="http://schemas.microsoft.com/office/drawing/2014/chart" uri="{C3380CC4-5D6E-409C-BE32-E72D297353CC}">
                  <c16:uniqueId val="{00000026-8DD2-4D1D-9E86-7EB13A74ABE2}"/>
                </c:ext>
              </c:extLst>
            </c:dLbl>
            <c:dLbl>
              <c:idx val="58"/>
              <c:delete val="1"/>
              <c:extLst>
                <c:ext xmlns:c15="http://schemas.microsoft.com/office/drawing/2012/chart" uri="{CE6537A1-D6FC-4f65-9D91-7224C49458BB}"/>
                <c:ext xmlns:c16="http://schemas.microsoft.com/office/drawing/2014/chart" uri="{C3380CC4-5D6E-409C-BE32-E72D297353CC}">
                  <c16:uniqueId val="{00000025-8DD2-4D1D-9E86-7EB13A74ABE2}"/>
                </c:ext>
              </c:extLst>
            </c:dLbl>
            <c:dLbl>
              <c:idx val="59"/>
              <c:delete val="1"/>
              <c:extLst>
                <c:ext xmlns:c15="http://schemas.microsoft.com/office/drawing/2012/chart" uri="{CE6537A1-D6FC-4f65-9D91-7224C49458BB}"/>
                <c:ext xmlns:c16="http://schemas.microsoft.com/office/drawing/2014/chart" uri="{C3380CC4-5D6E-409C-BE32-E72D297353CC}">
                  <c16:uniqueId val="{00000024-8DD2-4D1D-9E86-7EB13A74ABE2}"/>
                </c:ext>
              </c:extLst>
            </c:dLbl>
            <c:dLbl>
              <c:idx val="60"/>
              <c:delete val="1"/>
              <c:extLst>
                <c:ext xmlns:c15="http://schemas.microsoft.com/office/drawing/2012/chart" uri="{CE6537A1-D6FC-4f65-9D91-7224C49458BB}"/>
                <c:ext xmlns:c16="http://schemas.microsoft.com/office/drawing/2014/chart" uri="{C3380CC4-5D6E-409C-BE32-E72D297353CC}">
                  <c16:uniqueId val="{00000050-D6C6-4F18-B779-AF08EBE1A9FC}"/>
                </c:ext>
              </c:extLst>
            </c:dLbl>
            <c:dLbl>
              <c:idx val="61"/>
              <c:delete val="1"/>
              <c:extLst>
                <c:ext xmlns:c15="http://schemas.microsoft.com/office/drawing/2012/chart" uri="{CE6537A1-D6FC-4f65-9D91-7224C49458BB}"/>
                <c:ext xmlns:c16="http://schemas.microsoft.com/office/drawing/2014/chart" uri="{C3380CC4-5D6E-409C-BE32-E72D297353CC}">
                  <c16:uniqueId val="{0000004F-D6C6-4F18-B779-AF08EBE1A9FC}"/>
                </c:ext>
              </c:extLst>
            </c:dLbl>
            <c:dLbl>
              <c:idx val="62"/>
              <c:layout>
                <c:manualLayout>
                  <c:x val="-7.6246334310850442E-2"/>
                  <c:y val="-4.68586123704232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D6C6-4F18-B779-AF08EBE1A9FC}"/>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'1.2'!$A$102:$B$188</c15:sqref>
                  </c15:fullRef>
                </c:ext>
              </c:extLst>
              <c:f>'1.2'!$A$126:$B$188</c:f>
              <c:multiLvlStrCache>
                <c:ptCount val="63"/>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lvl>
                <c:lvl>
                  <c:pt idx="0">
                    <c:v>2021</c:v>
                  </c:pt>
                  <c:pt idx="12">
                    <c:v>2022</c:v>
                  </c:pt>
                  <c:pt idx="24">
                    <c:v>2023</c:v>
                  </c:pt>
                  <c:pt idx="36">
                    <c:v>2024</c:v>
                  </c:pt>
                  <c:pt idx="48">
                    <c:v>2025</c:v>
                  </c:pt>
                  <c:pt idx="60">
                    <c:v>2026</c:v>
                  </c:pt>
                </c:lvl>
              </c:multiLvlStrCache>
            </c:multiLvlStrRef>
          </c:cat>
          <c:val>
            <c:numRef>
              <c:extLst>
                <c:ext xmlns:c15="http://schemas.microsoft.com/office/drawing/2012/chart" uri="{02D57815-91ED-43cb-92C2-25804820EDAC}">
                  <c15:fullRef>
                    <c15:sqref>'1.2'!$F$102:$F$188</c15:sqref>
                  </c15:fullRef>
                </c:ext>
              </c:extLst>
              <c:f>'1.2'!$F$126:$F$188</c:f>
              <c:numCache>
                <c:formatCode>#,##0.00_);[Red]\(#,##0.00\)</c:formatCode>
                <c:ptCount val="63"/>
                <c:pt idx="0">
                  <c:v>5490.5985498601649</c:v>
                </c:pt>
                <c:pt idx="1">
                  <c:v>5400.8475557315833</c:v>
                </c:pt>
                <c:pt idx="2">
                  <c:v>5468.2313436502809</c:v>
                </c:pt>
                <c:pt idx="3">
                  <c:v>5546.2514358274566</c:v>
                </c:pt>
                <c:pt idx="4">
                  <c:v>5493.7280203657865</c:v>
                </c:pt>
                <c:pt idx="5">
                  <c:v>5521.7175965626557</c:v>
                </c:pt>
                <c:pt idx="6">
                  <c:v>5484.8166930303159</c:v>
                </c:pt>
                <c:pt idx="7">
                  <c:v>5613.6488933179862</c:v>
                </c:pt>
                <c:pt idx="8">
                  <c:v>5618.8701164191816</c:v>
                </c:pt>
                <c:pt idx="9">
                  <c:v>5654.2487654846491</c:v>
                </c:pt>
                <c:pt idx="10">
                  <c:v>5943.5590914099712</c:v>
                </c:pt>
                <c:pt idx="11">
                  <c:v>5861.1596057071265</c:v>
                </c:pt>
                <c:pt idx="12">
                  <c:v>5870.9503831320071</c:v>
                </c:pt>
                <c:pt idx="13">
                  <c:v>5921.3958232516297</c:v>
                </c:pt>
                <c:pt idx="14">
                  <c:v>6131.112160553972</c:v>
                </c:pt>
                <c:pt idx="15">
                  <c:v>6037.5236000085333</c:v>
                </c:pt>
                <c:pt idx="16">
                  <c:v>6373.378357436708</c:v>
                </c:pt>
                <c:pt idx="17">
                  <c:v>5878.702050038718</c:v>
                </c:pt>
                <c:pt idx="18">
                  <c:v>6039.6226176453938</c:v>
                </c:pt>
                <c:pt idx="19">
                  <c:v>5845.4859934175511</c:v>
                </c:pt>
                <c:pt idx="20">
                  <c:v>5774.0723281618266</c:v>
                </c:pt>
                <c:pt idx="21">
                  <c:v>5747.7817758900328</c:v>
                </c:pt>
                <c:pt idx="22">
                  <c:v>5677.8803551449728</c:v>
                </c:pt>
                <c:pt idx="23">
                  <c:v>5933.6102689012896</c:v>
                </c:pt>
                <c:pt idx="24">
                  <c:v>5866.808320834416</c:v>
                </c:pt>
                <c:pt idx="25">
                  <c:v>5618.5507645690932</c:v>
                </c:pt>
                <c:pt idx="26">
                  <c:v>5773.8834399632406</c:v>
                </c:pt>
                <c:pt idx="27">
                  <c:v>5836.1016169024306</c:v>
                </c:pt>
                <c:pt idx="28">
                  <c:v>5753.4556047708284</c:v>
                </c:pt>
                <c:pt idx="29">
                  <c:v>5989.6304135751298</c:v>
                </c:pt>
                <c:pt idx="30">
                  <c:v>5705.5062554900351</c:v>
                </c:pt>
                <c:pt idx="31">
                  <c:v>5707.7358684914434</c:v>
                </c:pt>
                <c:pt idx="32">
                  <c:v>5956.5496050147867</c:v>
                </c:pt>
                <c:pt idx="33">
                  <c:v>5754.3795818064327</c:v>
                </c:pt>
                <c:pt idx="34">
                  <c:v>5947.3569005754243</c:v>
                </c:pt>
                <c:pt idx="35">
                  <c:v>5972.2668459666875</c:v>
                </c:pt>
                <c:pt idx="36">
                  <c:v>6115.0602039505693</c:v>
                </c:pt>
                <c:pt idx="37">
                  <c:v>5970.6446162566581</c:v>
                </c:pt>
                <c:pt idx="38">
                  <c:v>6207.0331417720827</c:v>
                </c:pt>
                <c:pt idx="39">
                  <c:v>5967.5607522547616</c:v>
                </c:pt>
                <c:pt idx="40">
                  <c:v>5689.4932720514225</c:v>
                </c:pt>
                <c:pt idx="41">
                  <c:v>5548.1629181536282</c:v>
                </c:pt>
                <c:pt idx="42">
                  <c:v>5600.0232601164862</c:v>
                </c:pt>
                <c:pt idx="43">
                  <c:v>5552.2988071389045</c:v>
                </c:pt>
                <c:pt idx="44">
                  <c:v>5605.9688124423474</c:v>
                </c:pt>
                <c:pt idx="45">
                  <c:v>5587.0942596156674</c:v>
                </c:pt>
                <c:pt idx="46">
                  <c:v>5617.8107983435002</c:v>
                </c:pt>
                <c:pt idx="47">
                  <c:v>5917.2520676923141</c:v>
                </c:pt>
                <c:pt idx="48">
                  <c:v>6088.2637257793804</c:v>
                </c:pt>
                <c:pt idx="49">
                  <c:v>6025.9126856484754</c:v>
                </c:pt>
                <c:pt idx="50">
                  <c:v>5961.7995978904355</c:v>
                </c:pt>
                <c:pt idx="51">
                  <c:v>5857.3409538706337</c:v>
                </c:pt>
                <c:pt idx="52">
                  <c:v>5746.0488301400155</c:v>
                </c:pt>
                <c:pt idx="53">
                  <c:v>5826.2150569330806</c:v>
                </c:pt>
                <c:pt idx="54">
                  <c:v>5699.1651607041495</c:v>
                </c:pt>
                <c:pt idx="55">
                  <c:v>5794.2529563310482</c:v>
                </c:pt>
                <c:pt idx="56">
                  <c:v>5918.4208170362135</c:v>
                </c:pt>
                <c:pt idx="57">
                  <c:v>5849.6996781681955</c:v>
                </c:pt>
                <c:pt idx="58">
                  <c:v>5938.9467486465164</c:v>
                </c:pt>
                <c:pt idx="59">
                  <c:v>6025.1628771324504</c:v>
                </c:pt>
                <c:pt idx="60">
                  <c:v>6049.4282419976844</c:v>
                </c:pt>
                <c:pt idx="61">
                  <c:v>6431.8389201274458</c:v>
                </c:pt>
                <c:pt idx="62">
                  <c:v>6364.7531008142269</c:v>
                </c:pt>
              </c:numCache>
            </c:numRef>
          </c:val>
          <c:smooth val="0"/>
          <c:extLst>
            <c:ext xmlns:c15="http://schemas.microsoft.com/office/drawing/2012/chart" uri="{02D57815-91ED-43cb-92C2-25804820EDAC}">
              <c15:categoryFilterExceptions>
                <c15:categoryFilterException>
                  <c15:sqref>'1.2'!$F$102</c15:sqref>
                  <c15:dLbl>
                    <c:idx val="-1"/>
                    <c:delete val="1"/>
                    <c:extLst>
                      <c:ext uri="{CE6537A1-D6FC-4f65-9D91-7224C49458BB}"/>
                      <c:ext xmlns:c16="http://schemas.microsoft.com/office/drawing/2014/chart" uri="{C3380CC4-5D6E-409C-BE32-E72D297353CC}">
                        <c16:uniqueId val="{00000000-783C-4189-AAC4-A4A3A906CE0B}"/>
                      </c:ext>
                    </c:extLst>
                  </c15:dLbl>
                </c15:categoryFilterException>
                <c15:categoryFilterException>
                  <c15:sqref>'1.2'!$F$103</c15:sqref>
                  <c15:dLbl>
                    <c:idx val="-1"/>
                    <c:delete val="1"/>
                    <c:extLst>
                      <c:ext uri="{CE6537A1-D6FC-4f65-9D91-7224C49458BB}"/>
                      <c:ext xmlns:c16="http://schemas.microsoft.com/office/drawing/2014/chart" uri="{C3380CC4-5D6E-409C-BE32-E72D297353CC}">
                        <c16:uniqueId val="{00000001-783C-4189-AAC4-A4A3A906CE0B}"/>
                      </c:ext>
                    </c:extLst>
                  </c15:dLbl>
                </c15:categoryFilterException>
                <c15:categoryFilterException>
                  <c15:sqref>'1.2'!$F$104</c15:sqref>
                  <c15:dLbl>
                    <c:idx val="-1"/>
                    <c:delete val="1"/>
                    <c:extLst>
                      <c:ext uri="{CE6537A1-D6FC-4f65-9D91-7224C49458BB}"/>
                      <c:ext xmlns:c16="http://schemas.microsoft.com/office/drawing/2014/chart" uri="{C3380CC4-5D6E-409C-BE32-E72D297353CC}">
                        <c16:uniqueId val="{00000002-783C-4189-AAC4-A4A3A906CE0B}"/>
                      </c:ext>
                    </c:extLst>
                  </c15:dLbl>
                </c15:categoryFilterException>
                <c15:categoryFilterException>
                  <c15:sqref>'1.2'!$F$105</c15:sqref>
                  <c15:dLbl>
                    <c:idx val="-1"/>
                    <c:delete val="1"/>
                    <c:extLst>
                      <c:ext uri="{CE6537A1-D6FC-4f65-9D91-7224C49458BB}"/>
                      <c:ext xmlns:c16="http://schemas.microsoft.com/office/drawing/2014/chart" uri="{C3380CC4-5D6E-409C-BE32-E72D297353CC}">
                        <c16:uniqueId val="{00000003-783C-4189-AAC4-A4A3A906CE0B}"/>
                      </c:ext>
                    </c:extLst>
                  </c15:dLbl>
                </c15:categoryFilterException>
                <c15:categoryFilterException>
                  <c15:sqref>'1.2'!$F$106</c15:sqref>
                  <c15:dLbl>
                    <c:idx val="-1"/>
                    <c:delete val="1"/>
                    <c:extLst>
                      <c:ext uri="{CE6537A1-D6FC-4f65-9D91-7224C49458BB}"/>
                      <c:ext xmlns:c16="http://schemas.microsoft.com/office/drawing/2014/chart" uri="{C3380CC4-5D6E-409C-BE32-E72D297353CC}">
                        <c16:uniqueId val="{00000004-783C-4189-AAC4-A4A3A906CE0B}"/>
                      </c:ext>
                    </c:extLst>
                  </c15:dLbl>
                </c15:categoryFilterException>
                <c15:categoryFilterException>
                  <c15:sqref>'1.2'!$F$107</c15:sqref>
                  <c15:dLbl>
                    <c:idx val="-1"/>
                    <c:delete val="1"/>
                    <c:extLst>
                      <c:ext uri="{CE6537A1-D6FC-4f65-9D91-7224C49458BB}"/>
                      <c:ext xmlns:c16="http://schemas.microsoft.com/office/drawing/2014/chart" uri="{C3380CC4-5D6E-409C-BE32-E72D297353CC}">
                        <c16:uniqueId val="{00000005-783C-4189-AAC4-A4A3A906CE0B}"/>
                      </c:ext>
                    </c:extLst>
                  </c15:dLbl>
                </c15:categoryFilterException>
                <c15:categoryFilterException>
                  <c15:sqref>'1.2'!$F$108</c15:sqref>
                  <c15:dLbl>
                    <c:idx val="-1"/>
                    <c:delete val="1"/>
                    <c:extLst>
                      <c:ext uri="{CE6537A1-D6FC-4f65-9D91-7224C49458BB}"/>
                      <c:ext xmlns:c16="http://schemas.microsoft.com/office/drawing/2014/chart" uri="{C3380CC4-5D6E-409C-BE32-E72D297353CC}">
                        <c16:uniqueId val="{00000006-783C-4189-AAC4-A4A3A906CE0B}"/>
                      </c:ext>
                    </c:extLst>
                  </c15:dLbl>
                </c15:categoryFilterException>
                <c15:categoryFilterException>
                  <c15:sqref>'1.2'!$F$109</c15:sqref>
                  <c15:dLbl>
                    <c:idx val="-1"/>
                    <c:delete val="1"/>
                    <c:extLst>
                      <c:ext uri="{CE6537A1-D6FC-4f65-9D91-7224C49458BB}"/>
                      <c:ext xmlns:c16="http://schemas.microsoft.com/office/drawing/2014/chart" uri="{C3380CC4-5D6E-409C-BE32-E72D297353CC}">
                        <c16:uniqueId val="{00000007-783C-4189-AAC4-A4A3A906CE0B}"/>
                      </c:ext>
                    </c:extLst>
                  </c15:dLbl>
                </c15:categoryFilterException>
                <c15:categoryFilterException>
                  <c15:sqref>'1.2'!$F$110</c15:sqref>
                  <c15:dLbl>
                    <c:idx val="-1"/>
                    <c:delete val="1"/>
                    <c:extLst>
                      <c:ext uri="{CE6537A1-D6FC-4f65-9D91-7224C49458BB}"/>
                      <c:ext xmlns:c16="http://schemas.microsoft.com/office/drawing/2014/chart" uri="{C3380CC4-5D6E-409C-BE32-E72D297353CC}">
                        <c16:uniqueId val="{00000008-783C-4189-AAC4-A4A3A906CE0B}"/>
                      </c:ext>
                    </c:extLst>
                  </c15:dLbl>
                </c15:categoryFilterException>
                <c15:categoryFilterException>
                  <c15:sqref>'1.2'!$F$111</c15:sqref>
                  <c15:dLbl>
                    <c:idx val="-1"/>
                    <c:delete val="1"/>
                    <c:extLst>
                      <c:ext uri="{CE6537A1-D6FC-4f65-9D91-7224C49458BB}"/>
                      <c:ext xmlns:c16="http://schemas.microsoft.com/office/drawing/2014/chart" uri="{C3380CC4-5D6E-409C-BE32-E72D297353CC}">
                        <c16:uniqueId val="{00000009-783C-4189-AAC4-A4A3A906CE0B}"/>
                      </c:ext>
                    </c:extLst>
                  </c15:dLbl>
                </c15:categoryFilterException>
                <c15:categoryFilterException>
                  <c15:sqref>'1.2'!$F$112</c15:sqref>
                  <c15:dLbl>
                    <c:idx val="-1"/>
                    <c:delete val="1"/>
                    <c:extLst>
                      <c:ext uri="{CE6537A1-D6FC-4f65-9D91-7224C49458BB}"/>
                      <c:ext xmlns:c16="http://schemas.microsoft.com/office/drawing/2014/chart" uri="{C3380CC4-5D6E-409C-BE32-E72D297353CC}">
                        <c16:uniqueId val="{0000000A-783C-4189-AAC4-A4A3A906CE0B}"/>
                      </c:ext>
                    </c:extLst>
                  </c15:dLbl>
                </c15:categoryFilterException>
                <c15:categoryFilterException>
                  <c15:sqref>'1.2'!$F$113</c15:sqref>
                  <c15:dLbl>
                    <c:idx val="-1"/>
                    <c:delete val="1"/>
                    <c:extLst>
                      <c:ext uri="{CE6537A1-D6FC-4f65-9D91-7224C49458BB}"/>
                      <c:ext xmlns:c16="http://schemas.microsoft.com/office/drawing/2014/chart" uri="{C3380CC4-5D6E-409C-BE32-E72D297353CC}">
                        <c16:uniqueId val="{0000000B-783C-4189-AAC4-A4A3A906CE0B}"/>
                      </c:ext>
                    </c:extLst>
                  </c15:dLbl>
                </c15:categoryFilterException>
                <c15:categoryFilterException>
                  <c15:sqref>'1.2'!$F$114</c15:sqref>
                  <c15:dLbl>
                    <c:idx val="-1"/>
                    <c:delete val="1"/>
                    <c:extLst>
                      <c:ext uri="{CE6537A1-D6FC-4f65-9D91-7224C49458BB}"/>
                      <c:ext xmlns:c16="http://schemas.microsoft.com/office/drawing/2014/chart" uri="{C3380CC4-5D6E-409C-BE32-E72D297353CC}">
                        <c16:uniqueId val="{0000000C-783C-4189-AAC4-A4A3A906CE0B}"/>
                      </c:ext>
                    </c:extLst>
                  </c15:dLbl>
                </c15:categoryFilterException>
                <c15:categoryFilterException>
                  <c15:sqref>'1.2'!$F$115</c15:sqref>
                  <c15:dLbl>
                    <c:idx val="-1"/>
                    <c:delete val="1"/>
                    <c:extLst>
                      <c:ext uri="{CE6537A1-D6FC-4f65-9D91-7224C49458BB}"/>
                      <c:ext xmlns:c16="http://schemas.microsoft.com/office/drawing/2014/chart" uri="{C3380CC4-5D6E-409C-BE32-E72D297353CC}">
                        <c16:uniqueId val="{0000000D-783C-4189-AAC4-A4A3A906CE0B}"/>
                      </c:ext>
                    </c:extLst>
                  </c15:dLbl>
                </c15:categoryFilterException>
                <c15:categoryFilterException>
                  <c15:sqref>'1.2'!$F$116</c15:sqref>
                  <c15:dLbl>
                    <c:idx val="-1"/>
                    <c:delete val="1"/>
                    <c:extLst>
                      <c:ext uri="{CE6537A1-D6FC-4f65-9D91-7224C49458BB}"/>
                      <c:ext xmlns:c16="http://schemas.microsoft.com/office/drawing/2014/chart" uri="{C3380CC4-5D6E-409C-BE32-E72D297353CC}">
                        <c16:uniqueId val="{0000000E-783C-4189-AAC4-A4A3A906CE0B}"/>
                      </c:ext>
                    </c:extLst>
                  </c15:dLbl>
                </c15:categoryFilterException>
                <c15:categoryFilterException>
                  <c15:sqref>'1.2'!$F$117</c15:sqref>
                  <c15:dLbl>
                    <c:idx val="-1"/>
                    <c:delete val="1"/>
                    <c:extLst>
                      <c:ext uri="{CE6537A1-D6FC-4f65-9D91-7224C49458BB}"/>
                      <c:ext xmlns:c16="http://schemas.microsoft.com/office/drawing/2014/chart" uri="{C3380CC4-5D6E-409C-BE32-E72D297353CC}">
                        <c16:uniqueId val="{0000000F-783C-4189-AAC4-A4A3A906CE0B}"/>
                      </c:ext>
                    </c:extLst>
                  </c15:dLbl>
                </c15:categoryFilterException>
                <c15:categoryFilterException>
                  <c15:sqref>'1.2'!$F$118</c15:sqref>
                  <c15:dLbl>
                    <c:idx val="-1"/>
                    <c:delete val="1"/>
                    <c:extLst>
                      <c:ext uri="{CE6537A1-D6FC-4f65-9D91-7224C49458BB}"/>
                      <c:ext xmlns:c16="http://schemas.microsoft.com/office/drawing/2014/chart" uri="{C3380CC4-5D6E-409C-BE32-E72D297353CC}">
                        <c16:uniqueId val="{00000010-783C-4189-AAC4-A4A3A906CE0B}"/>
                      </c:ext>
                    </c:extLst>
                  </c15:dLbl>
                </c15:categoryFilterException>
                <c15:categoryFilterException>
                  <c15:sqref>'1.2'!$F$119</c15:sqref>
                  <c15:dLbl>
                    <c:idx val="-1"/>
                    <c:delete val="1"/>
                    <c:extLst>
                      <c:ext uri="{CE6537A1-D6FC-4f65-9D91-7224C49458BB}"/>
                      <c:ext xmlns:c16="http://schemas.microsoft.com/office/drawing/2014/chart" uri="{C3380CC4-5D6E-409C-BE32-E72D297353CC}">
                        <c16:uniqueId val="{00000011-783C-4189-AAC4-A4A3A906CE0B}"/>
                      </c:ext>
                    </c:extLst>
                  </c15:dLbl>
                </c15:categoryFilterException>
                <c15:categoryFilterException>
                  <c15:sqref>'1.2'!$F$120</c15:sqref>
                  <c15:dLbl>
                    <c:idx val="-1"/>
                    <c:delete val="1"/>
                    <c:extLst>
                      <c:ext uri="{CE6537A1-D6FC-4f65-9D91-7224C49458BB}"/>
                      <c:ext xmlns:c16="http://schemas.microsoft.com/office/drawing/2014/chart" uri="{C3380CC4-5D6E-409C-BE32-E72D297353CC}">
                        <c16:uniqueId val="{00000012-783C-4189-AAC4-A4A3A906CE0B}"/>
                      </c:ext>
                    </c:extLst>
                  </c15:dLbl>
                </c15:categoryFilterException>
                <c15:categoryFilterException>
                  <c15:sqref>'1.2'!$F$121</c15:sqref>
                  <c15:dLbl>
                    <c:idx val="-1"/>
                    <c:delete val="1"/>
                    <c:extLst>
                      <c:ext uri="{CE6537A1-D6FC-4f65-9D91-7224C49458BB}"/>
                      <c:ext xmlns:c16="http://schemas.microsoft.com/office/drawing/2014/chart" uri="{C3380CC4-5D6E-409C-BE32-E72D297353CC}">
                        <c16:uniqueId val="{00000013-783C-4189-AAC4-A4A3A906CE0B}"/>
                      </c:ext>
                    </c:extLst>
                  </c15:dLbl>
                </c15:categoryFilterException>
                <c15:categoryFilterException>
                  <c15:sqref>'1.2'!$F$122</c15:sqref>
                  <c15:dLbl>
                    <c:idx val="-1"/>
                    <c:delete val="1"/>
                    <c:extLst>
                      <c:ext uri="{CE6537A1-D6FC-4f65-9D91-7224C49458BB}"/>
                      <c:ext xmlns:c16="http://schemas.microsoft.com/office/drawing/2014/chart" uri="{C3380CC4-5D6E-409C-BE32-E72D297353CC}">
                        <c16:uniqueId val="{00000014-783C-4189-AAC4-A4A3A906CE0B}"/>
                      </c:ext>
                    </c:extLst>
                  </c15:dLbl>
                </c15:categoryFilterException>
                <c15:categoryFilterException>
                  <c15:sqref>'1.2'!$F$123</c15:sqref>
                  <c15:dLbl>
                    <c:idx val="-1"/>
                    <c:delete val="1"/>
                    <c:extLst>
                      <c:ext uri="{CE6537A1-D6FC-4f65-9D91-7224C49458BB}"/>
                      <c:ext xmlns:c16="http://schemas.microsoft.com/office/drawing/2014/chart" uri="{C3380CC4-5D6E-409C-BE32-E72D297353CC}">
                        <c16:uniqueId val="{00000015-783C-4189-AAC4-A4A3A906CE0B}"/>
                      </c:ext>
                    </c:extLst>
                  </c15:dLbl>
                </c15:categoryFilterException>
                <c15:categoryFilterException>
                  <c15:sqref>'1.2'!$F$124</c15:sqref>
                  <c15:dLbl>
                    <c:idx val="-1"/>
                    <c:delete val="1"/>
                    <c:extLst>
                      <c:ext uri="{CE6537A1-D6FC-4f65-9D91-7224C49458BB}"/>
                      <c:ext xmlns:c16="http://schemas.microsoft.com/office/drawing/2014/chart" uri="{C3380CC4-5D6E-409C-BE32-E72D297353CC}">
                        <c16:uniqueId val="{00000016-783C-4189-AAC4-A4A3A906CE0B}"/>
                      </c:ext>
                    </c:extLst>
                  </c15:dLbl>
                </c15:categoryFilterException>
                <c15:categoryFilterException>
                  <c15:sqref>'1.2'!$F$125</c15:sqref>
                  <c15:dLbl>
                    <c:idx val="-1"/>
                    <c:delete val="1"/>
                    <c:extLst>
                      <c:ext uri="{CE6537A1-D6FC-4f65-9D91-7224C49458BB}"/>
                      <c:ext xmlns:c16="http://schemas.microsoft.com/office/drawing/2014/chart" uri="{C3380CC4-5D6E-409C-BE32-E72D297353CC}">
                        <c16:uniqueId val="{00000017-783C-4189-AAC4-A4A3A906CE0B}"/>
                      </c:ext>
                    </c:extLst>
                  </c15:dLbl>
                </c15:categoryFilterException>
              </c15:categoryFilterExceptions>
            </c:ext>
            <c:ext xmlns:c16="http://schemas.microsoft.com/office/drawing/2014/chart" uri="{C3380CC4-5D6E-409C-BE32-E72D297353CC}">
              <c16:uniqueId val="{00000001-1DEA-4E31-8FF0-AAEE9D765F0D}"/>
            </c:ext>
          </c:extLst>
        </c:ser>
        <c:ser>
          <c:idx val="1"/>
          <c:order val="1"/>
          <c:tx>
            <c:v>Quasi Money</c:v>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30-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31-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32-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33-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34-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35-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36-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37-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38-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39-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3A-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3B-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3C-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3D-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3E-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3F-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40-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41-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42-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43-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44-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45-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46-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47-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57-6DE8-4731-B803-96064405E682}"/>
                </c:ext>
              </c:extLst>
            </c:dLbl>
            <c:dLbl>
              <c:idx val="25"/>
              <c:delete val="1"/>
              <c:extLst>
                <c:ext xmlns:c15="http://schemas.microsoft.com/office/drawing/2012/chart" uri="{CE6537A1-D6FC-4f65-9D91-7224C49458BB}"/>
                <c:ext xmlns:c16="http://schemas.microsoft.com/office/drawing/2014/chart" uri="{C3380CC4-5D6E-409C-BE32-E72D297353CC}">
                  <c16:uniqueId val="{00000056-6DE8-4731-B803-96064405E682}"/>
                </c:ext>
              </c:extLst>
            </c:dLbl>
            <c:dLbl>
              <c:idx val="26"/>
              <c:delete val="1"/>
              <c:extLst>
                <c:ext xmlns:c15="http://schemas.microsoft.com/office/drawing/2012/chart" uri="{CE6537A1-D6FC-4f65-9D91-7224C49458BB}"/>
                <c:ext xmlns:c16="http://schemas.microsoft.com/office/drawing/2014/chart" uri="{C3380CC4-5D6E-409C-BE32-E72D297353CC}">
                  <c16:uniqueId val="{00000055-6DE8-4731-B803-96064405E682}"/>
                </c:ext>
              </c:extLst>
            </c:dLbl>
            <c:dLbl>
              <c:idx val="27"/>
              <c:delete val="1"/>
              <c:extLst>
                <c:ext xmlns:c15="http://schemas.microsoft.com/office/drawing/2012/chart" uri="{CE6537A1-D6FC-4f65-9D91-7224C49458BB}"/>
                <c:ext xmlns:c16="http://schemas.microsoft.com/office/drawing/2014/chart" uri="{C3380CC4-5D6E-409C-BE32-E72D297353CC}">
                  <c16:uniqueId val="{00000054-6DE8-4731-B803-96064405E682}"/>
                </c:ext>
              </c:extLst>
            </c:dLbl>
            <c:dLbl>
              <c:idx val="28"/>
              <c:delete val="1"/>
              <c:extLst>
                <c:ext xmlns:c15="http://schemas.microsoft.com/office/drawing/2012/chart" uri="{CE6537A1-D6FC-4f65-9D91-7224C49458BB}"/>
                <c:ext xmlns:c16="http://schemas.microsoft.com/office/drawing/2014/chart" uri="{C3380CC4-5D6E-409C-BE32-E72D297353CC}">
                  <c16:uniqueId val="{00000053-6DE8-4731-B803-96064405E682}"/>
                </c:ext>
              </c:extLst>
            </c:dLbl>
            <c:dLbl>
              <c:idx val="29"/>
              <c:delete val="1"/>
              <c:extLst>
                <c:ext xmlns:c15="http://schemas.microsoft.com/office/drawing/2012/chart" uri="{CE6537A1-D6FC-4f65-9D91-7224C49458BB}"/>
                <c:ext xmlns:c16="http://schemas.microsoft.com/office/drawing/2014/chart" uri="{C3380CC4-5D6E-409C-BE32-E72D297353CC}">
                  <c16:uniqueId val="{00000051-6DE8-4731-B803-96064405E682}"/>
                </c:ext>
              </c:extLst>
            </c:dLbl>
            <c:dLbl>
              <c:idx val="30"/>
              <c:delete val="1"/>
              <c:extLst>
                <c:ext xmlns:c15="http://schemas.microsoft.com/office/drawing/2012/chart" uri="{CE6537A1-D6FC-4f65-9D91-7224C49458BB}"/>
                <c:ext xmlns:c16="http://schemas.microsoft.com/office/drawing/2014/chart" uri="{C3380CC4-5D6E-409C-BE32-E72D297353CC}">
                  <c16:uniqueId val="{00000050-6DE8-4731-B803-96064405E682}"/>
                </c:ext>
              </c:extLst>
            </c:dLbl>
            <c:dLbl>
              <c:idx val="31"/>
              <c:delete val="1"/>
              <c:extLst>
                <c:ext xmlns:c15="http://schemas.microsoft.com/office/drawing/2012/chart" uri="{CE6537A1-D6FC-4f65-9D91-7224C49458BB}"/>
                <c:ext xmlns:c16="http://schemas.microsoft.com/office/drawing/2014/chart" uri="{C3380CC4-5D6E-409C-BE32-E72D297353CC}">
                  <c16:uniqueId val="{00000052-6DE8-4731-B803-96064405E682}"/>
                </c:ext>
              </c:extLst>
            </c:dLbl>
            <c:dLbl>
              <c:idx val="32"/>
              <c:delete val="1"/>
              <c:extLst>
                <c:ext xmlns:c15="http://schemas.microsoft.com/office/drawing/2012/chart" uri="{CE6537A1-D6FC-4f65-9D91-7224C49458BB}"/>
                <c:ext xmlns:c16="http://schemas.microsoft.com/office/drawing/2014/chart" uri="{C3380CC4-5D6E-409C-BE32-E72D297353CC}">
                  <c16:uniqueId val="{0000004F-6DE8-4731-B803-96064405E682}"/>
                </c:ext>
              </c:extLst>
            </c:dLbl>
            <c:dLbl>
              <c:idx val="33"/>
              <c:delete val="1"/>
              <c:extLst>
                <c:ext xmlns:c15="http://schemas.microsoft.com/office/drawing/2012/chart" uri="{CE6537A1-D6FC-4f65-9D91-7224C49458BB}"/>
                <c:ext xmlns:c16="http://schemas.microsoft.com/office/drawing/2014/chart" uri="{C3380CC4-5D6E-409C-BE32-E72D297353CC}">
                  <c16:uniqueId val="{0000004E-6DE8-4731-B803-96064405E682}"/>
                </c:ext>
              </c:extLst>
            </c:dLbl>
            <c:dLbl>
              <c:idx val="34"/>
              <c:delete val="1"/>
              <c:extLst>
                <c:ext xmlns:c15="http://schemas.microsoft.com/office/drawing/2012/chart" uri="{CE6537A1-D6FC-4f65-9D91-7224C49458BB}"/>
                <c:ext xmlns:c16="http://schemas.microsoft.com/office/drawing/2014/chart" uri="{C3380CC4-5D6E-409C-BE32-E72D297353CC}">
                  <c16:uniqueId val="{0000004D-6DE8-4731-B803-96064405E682}"/>
                </c:ext>
              </c:extLst>
            </c:dLbl>
            <c:dLbl>
              <c:idx val="35"/>
              <c:delete val="1"/>
              <c:extLst>
                <c:ext xmlns:c15="http://schemas.microsoft.com/office/drawing/2012/chart" uri="{CE6537A1-D6FC-4f65-9D91-7224C49458BB}"/>
                <c:ext xmlns:c16="http://schemas.microsoft.com/office/drawing/2014/chart" uri="{C3380CC4-5D6E-409C-BE32-E72D297353CC}">
                  <c16:uniqueId val="{0000004B-6DE8-4731-B803-96064405E682}"/>
                </c:ext>
              </c:extLst>
            </c:dLbl>
            <c:dLbl>
              <c:idx val="36"/>
              <c:delete val="1"/>
              <c:extLst>
                <c:ext xmlns:c15="http://schemas.microsoft.com/office/drawing/2012/chart" uri="{CE6537A1-D6FC-4f65-9D91-7224C49458BB}"/>
                <c:ext xmlns:c16="http://schemas.microsoft.com/office/drawing/2014/chart" uri="{C3380CC4-5D6E-409C-BE32-E72D297353CC}">
                  <c16:uniqueId val="{00000003-CAB2-4E2F-9378-EE3BD45BCDC1}"/>
                </c:ext>
              </c:extLst>
            </c:dLbl>
            <c:dLbl>
              <c:idx val="37"/>
              <c:delete val="1"/>
              <c:extLst>
                <c:ext xmlns:c15="http://schemas.microsoft.com/office/drawing/2012/chart" uri="{CE6537A1-D6FC-4f65-9D91-7224C49458BB}"/>
                <c:ext xmlns:c16="http://schemas.microsoft.com/office/drawing/2014/chart" uri="{C3380CC4-5D6E-409C-BE32-E72D297353CC}">
                  <c16:uniqueId val="{00000004-CAB2-4E2F-9378-EE3BD45BCDC1}"/>
                </c:ext>
              </c:extLst>
            </c:dLbl>
            <c:dLbl>
              <c:idx val="38"/>
              <c:delete val="1"/>
              <c:extLst>
                <c:ext xmlns:c15="http://schemas.microsoft.com/office/drawing/2012/chart" uri="{CE6537A1-D6FC-4f65-9D91-7224C49458BB}"/>
                <c:ext xmlns:c16="http://schemas.microsoft.com/office/drawing/2014/chart" uri="{C3380CC4-5D6E-409C-BE32-E72D297353CC}">
                  <c16:uniqueId val="{00000005-CAB2-4E2F-9378-EE3BD45BCDC1}"/>
                </c:ext>
              </c:extLst>
            </c:dLbl>
            <c:dLbl>
              <c:idx val="39"/>
              <c:delete val="1"/>
              <c:extLst>
                <c:ext xmlns:c15="http://schemas.microsoft.com/office/drawing/2012/chart" uri="{CE6537A1-D6FC-4f65-9D91-7224C49458BB}"/>
                <c:ext xmlns:c16="http://schemas.microsoft.com/office/drawing/2014/chart" uri="{C3380CC4-5D6E-409C-BE32-E72D297353CC}">
                  <c16:uniqueId val="{00000005-711C-452C-A8B4-F6E980912887}"/>
                </c:ext>
              </c:extLst>
            </c:dLbl>
            <c:dLbl>
              <c:idx val="40"/>
              <c:delete val="1"/>
              <c:extLst>
                <c:ext xmlns:c15="http://schemas.microsoft.com/office/drawing/2012/chart" uri="{CE6537A1-D6FC-4f65-9D91-7224C49458BB}"/>
                <c:ext xmlns:c16="http://schemas.microsoft.com/office/drawing/2014/chart" uri="{C3380CC4-5D6E-409C-BE32-E72D297353CC}">
                  <c16:uniqueId val="{00000004-711C-452C-A8B4-F6E980912887}"/>
                </c:ext>
              </c:extLst>
            </c:dLbl>
            <c:dLbl>
              <c:idx val="41"/>
              <c:delete val="1"/>
              <c:extLst>
                <c:ext xmlns:c15="http://schemas.microsoft.com/office/drawing/2012/chart" uri="{CE6537A1-D6FC-4f65-9D91-7224C49458BB}"/>
                <c:ext xmlns:c16="http://schemas.microsoft.com/office/drawing/2014/chart" uri="{C3380CC4-5D6E-409C-BE32-E72D297353CC}">
                  <c16:uniqueId val="{00000003-711C-452C-A8B4-F6E980912887}"/>
                </c:ext>
              </c:extLst>
            </c:dLbl>
            <c:dLbl>
              <c:idx val="42"/>
              <c:delete val="1"/>
              <c:extLst>
                <c:ext xmlns:c15="http://schemas.microsoft.com/office/drawing/2012/chart" uri="{CE6537A1-D6FC-4f65-9D91-7224C49458BB}"/>
                <c:ext xmlns:c16="http://schemas.microsoft.com/office/drawing/2014/chart" uri="{C3380CC4-5D6E-409C-BE32-E72D297353CC}">
                  <c16:uniqueId val="{00000003-B628-4BAE-A7C1-10CFEFCF6645}"/>
                </c:ext>
              </c:extLst>
            </c:dLbl>
            <c:dLbl>
              <c:idx val="43"/>
              <c:delete val="1"/>
              <c:extLst>
                <c:ext xmlns:c15="http://schemas.microsoft.com/office/drawing/2012/chart" uri="{CE6537A1-D6FC-4f65-9D91-7224C49458BB}"/>
                <c:ext xmlns:c16="http://schemas.microsoft.com/office/drawing/2014/chart" uri="{C3380CC4-5D6E-409C-BE32-E72D297353CC}">
                  <c16:uniqueId val="{00000005-B628-4BAE-A7C1-10CFEFCF6645}"/>
                </c:ext>
              </c:extLst>
            </c:dLbl>
            <c:dLbl>
              <c:idx val="44"/>
              <c:delete val="1"/>
              <c:extLst>
                <c:ext xmlns:c15="http://schemas.microsoft.com/office/drawing/2012/chart" uri="{CE6537A1-D6FC-4f65-9D91-7224C49458BB}"/>
                <c:ext xmlns:c16="http://schemas.microsoft.com/office/drawing/2014/chart" uri="{C3380CC4-5D6E-409C-BE32-E72D297353CC}">
                  <c16:uniqueId val="{00000004-B628-4BAE-A7C1-10CFEFCF6645}"/>
                </c:ext>
              </c:extLst>
            </c:dLbl>
            <c:dLbl>
              <c:idx val="45"/>
              <c:delete val="1"/>
              <c:extLst>
                <c:ext xmlns:c15="http://schemas.microsoft.com/office/drawing/2012/chart" uri="{CE6537A1-D6FC-4f65-9D91-7224C49458BB}"/>
                <c:ext xmlns:c16="http://schemas.microsoft.com/office/drawing/2014/chart" uri="{C3380CC4-5D6E-409C-BE32-E72D297353CC}">
                  <c16:uniqueId val="{00000005-EE86-48DF-8198-D911B604C9A9}"/>
                </c:ext>
              </c:extLst>
            </c:dLbl>
            <c:dLbl>
              <c:idx val="46"/>
              <c:delete val="1"/>
              <c:extLst>
                <c:ext xmlns:c15="http://schemas.microsoft.com/office/drawing/2012/chart" uri="{CE6537A1-D6FC-4f65-9D91-7224C49458BB}"/>
                <c:ext xmlns:c16="http://schemas.microsoft.com/office/drawing/2014/chart" uri="{C3380CC4-5D6E-409C-BE32-E72D297353CC}">
                  <c16:uniqueId val="{00000004-EE86-48DF-8198-D911B604C9A9}"/>
                </c:ext>
              </c:extLst>
            </c:dLbl>
            <c:dLbl>
              <c:idx val="47"/>
              <c:delete val="1"/>
              <c:extLst>
                <c:ext xmlns:c15="http://schemas.microsoft.com/office/drawing/2012/chart" uri="{CE6537A1-D6FC-4f65-9D91-7224C49458BB}"/>
                <c:ext xmlns:c16="http://schemas.microsoft.com/office/drawing/2014/chart" uri="{C3380CC4-5D6E-409C-BE32-E72D297353CC}">
                  <c16:uniqueId val="{00000003-EE86-48DF-8198-D911B604C9A9}"/>
                </c:ext>
              </c:extLst>
            </c:dLbl>
            <c:dLbl>
              <c:idx val="48"/>
              <c:delete val="1"/>
              <c:extLst>
                <c:ext xmlns:c15="http://schemas.microsoft.com/office/drawing/2012/chart" uri="{CE6537A1-D6FC-4f65-9D91-7224C49458BB}"/>
                <c:ext xmlns:c16="http://schemas.microsoft.com/office/drawing/2014/chart" uri="{C3380CC4-5D6E-409C-BE32-E72D297353CC}">
                  <c16:uniqueId val="{00000003-3A76-4905-9554-7B255E8A9E17}"/>
                </c:ext>
              </c:extLst>
            </c:dLbl>
            <c:dLbl>
              <c:idx val="49"/>
              <c:delete val="1"/>
              <c:extLst>
                <c:ext xmlns:c15="http://schemas.microsoft.com/office/drawing/2012/chart" uri="{CE6537A1-D6FC-4f65-9D91-7224C49458BB}"/>
                <c:ext xmlns:c16="http://schemas.microsoft.com/office/drawing/2014/chart" uri="{C3380CC4-5D6E-409C-BE32-E72D297353CC}">
                  <c16:uniqueId val="{00000005-3A76-4905-9554-7B255E8A9E17}"/>
                </c:ext>
              </c:extLst>
            </c:dLbl>
            <c:dLbl>
              <c:idx val="50"/>
              <c:delete val="1"/>
              <c:extLst>
                <c:ext xmlns:c15="http://schemas.microsoft.com/office/drawing/2012/chart" uri="{CE6537A1-D6FC-4f65-9D91-7224C49458BB}"/>
                <c:ext xmlns:c16="http://schemas.microsoft.com/office/drawing/2014/chart" uri="{C3380CC4-5D6E-409C-BE32-E72D297353CC}">
                  <c16:uniqueId val="{00000004-3A76-4905-9554-7B255E8A9E17}"/>
                </c:ext>
              </c:extLst>
            </c:dLbl>
            <c:dLbl>
              <c:idx val="51"/>
              <c:delete val="1"/>
              <c:extLst>
                <c:ext xmlns:c15="http://schemas.microsoft.com/office/drawing/2012/chart" uri="{CE6537A1-D6FC-4f65-9D91-7224C49458BB}"/>
                <c:ext xmlns:c16="http://schemas.microsoft.com/office/drawing/2014/chart" uri="{C3380CC4-5D6E-409C-BE32-E72D297353CC}">
                  <c16:uniqueId val="{00000004-DE13-4953-9C89-6DBFA86D7BEA}"/>
                </c:ext>
              </c:extLst>
            </c:dLbl>
            <c:dLbl>
              <c:idx val="52"/>
              <c:delete val="1"/>
              <c:extLst>
                <c:ext xmlns:c15="http://schemas.microsoft.com/office/drawing/2012/chart" uri="{CE6537A1-D6FC-4f65-9D91-7224C49458BB}"/>
                <c:ext xmlns:c16="http://schemas.microsoft.com/office/drawing/2014/chart" uri="{C3380CC4-5D6E-409C-BE32-E72D297353CC}">
                  <c16:uniqueId val="{00000003-DE13-4953-9C89-6DBFA86D7BEA}"/>
                </c:ext>
              </c:extLst>
            </c:dLbl>
            <c:dLbl>
              <c:idx val="53"/>
              <c:delete val="1"/>
              <c:extLst>
                <c:ext xmlns:c15="http://schemas.microsoft.com/office/drawing/2012/chart" uri="{CE6537A1-D6FC-4f65-9D91-7224C49458BB}"/>
                <c:ext xmlns:c16="http://schemas.microsoft.com/office/drawing/2014/chart" uri="{C3380CC4-5D6E-409C-BE32-E72D297353CC}">
                  <c16:uniqueId val="{00000005-DE13-4953-9C89-6DBFA86D7BEA}"/>
                </c:ext>
              </c:extLst>
            </c:dLbl>
            <c:dLbl>
              <c:idx val="54"/>
              <c:delete val="1"/>
              <c:extLst>
                <c:ext xmlns:c15="http://schemas.microsoft.com/office/drawing/2012/chart" uri="{CE6537A1-D6FC-4f65-9D91-7224C49458BB}"/>
                <c:ext xmlns:c16="http://schemas.microsoft.com/office/drawing/2014/chart" uri="{C3380CC4-5D6E-409C-BE32-E72D297353CC}">
                  <c16:uniqueId val="{00000027-73E5-4933-BCE6-949CBF804AF5}"/>
                </c:ext>
              </c:extLst>
            </c:dLbl>
            <c:dLbl>
              <c:idx val="55"/>
              <c:delete val="1"/>
              <c:extLst>
                <c:ext xmlns:c15="http://schemas.microsoft.com/office/drawing/2012/chart" uri="{CE6537A1-D6FC-4f65-9D91-7224C49458BB}"/>
                <c:ext xmlns:c16="http://schemas.microsoft.com/office/drawing/2014/chart" uri="{C3380CC4-5D6E-409C-BE32-E72D297353CC}">
                  <c16:uniqueId val="{00000029-73E5-4933-BCE6-949CBF804AF5}"/>
                </c:ext>
              </c:extLst>
            </c:dLbl>
            <c:dLbl>
              <c:idx val="56"/>
              <c:delete val="1"/>
              <c:extLst>
                <c:ext xmlns:c15="http://schemas.microsoft.com/office/drawing/2012/chart" uri="{CE6537A1-D6FC-4f65-9D91-7224C49458BB}"/>
                <c:ext xmlns:c16="http://schemas.microsoft.com/office/drawing/2014/chart" uri="{C3380CC4-5D6E-409C-BE32-E72D297353CC}">
                  <c16:uniqueId val="{00000028-73E5-4933-BCE6-949CBF804AF5}"/>
                </c:ext>
              </c:extLst>
            </c:dLbl>
            <c:dLbl>
              <c:idx val="57"/>
              <c:delete val="1"/>
              <c:extLst>
                <c:ext xmlns:c15="http://schemas.microsoft.com/office/drawing/2012/chart" uri="{CE6537A1-D6FC-4f65-9D91-7224C49458BB}"/>
                <c:ext xmlns:c16="http://schemas.microsoft.com/office/drawing/2014/chart" uri="{C3380CC4-5D6E-409C-BE32-E72D297353CC}">
                  <c16:uniqueId val="{00000028-8DD2-4D1D-9E86-7EB13A74ABE2}"/>
                </c:ext>
              </c:extLst>
            </c:dLbl>
            <c:dLbl>
              <c:idx val="58"/>
              <c:delete val="1"/>
              <c:extLst>
                <c:ext xmlns:c15="http://schemas.microsoft.com/office/drawing/2012/chart" uri="{CE6537A1-D6FC-4f65-9D91-7224C49458BB}"/>
                <c:ext xmlns:c16="http://schemas.microsoft.com/office/drawing/2014/chart" uri="{C3380CC4-5D6E-409C-BE32-E72D297353CC}">
                  <c16:uniqueId val="{00000027-8DD2-4D1D-9E86-7EB13A74ABE2}"/>
                </c:ext>
              </c:extLst>
            </c:dLbl>
            <c:dLbl>
              <c:idx val="59"/>
              <c:delete val="1"/>
              <c:extLst>
                <c:ext xmlns:c15="http://schemas.microsoft.com/office/drawing/2012/chart" uri="{CE6537A1-D6FC-4f65-9D91-7224C49458BB}"/>
                <c:ext xmlns:c16="http://schemas.microsoft.com/office/drawing/2014/chart" uri="{C3380CC4-5D6E-409C-BE32-E72D297353CC}">
                  <c16:uniqueId val="{00000029-8DD2-4D1D-9E86-7EB13A74ABE2}"/>
                </c:ext>
              </c:extLst>
            </c:dLbl>
            <c:dLbl>
              <c:idx val="60"/>
              <c:delete val="1"/>
              <c:extLst>
                <c:ext xmlns:c15="http://schemas.microsoft.com/office/drawing/2012/chart" uri="{CE6537A1-D6FC-4f65-9D91-7224C49458BB}"/>
                <c:ext xmlns:c16="http://schemas.microsoft.com/office/drawing/2014/chart" uri="{C3380CC4-5D6E-409C-BE32-E72D297353CC}">
                  <c16:uniqueId val="{0000004B-D6C6-4F18-B779-AF08EBE1A9FC}"/>
                </c:ext>
              </c:extLst>
            </c:dLbl>
            <c:dLbl>
              <c:idx val="61"/>
              <c:delete val="1"/>
              <c:extLst>
                <c:ext xmlns:c15="http://schemas.microsoft.com/office/drawing/2012/chart" uri="{CE6537A1-D6FC-4f65-9D91-7224C49458BB}"/>
                <c:ext xmlns:c16="http://schemas.microsoft.com/office/drawing/2014/chart" uri="{C3380CC4-5D6E-409C-BE32-E72D297353CC}">
                  <c16:uniqueId val="{0000004D-D6C6-4F18-B779-AF08EBE1A9FC}"/>
                </c:ext>
              </c:extLst>
            </c:dLbl>
            <c:dLbl>
              <c:idx val="62"/>
              <c:layout>
                <c:manualLayout>
                  <c:x val="-4.6920821114369501E-2"/>
                  <c:y val="2.45218590100479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D6C6-4F18-B779-AF08EBE1A9FC}"/>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'1.2'!$A$102:$B$188</c15:sqref>
                  </c15:fullRef>
                </c:ext>
              </c:extLst>
              <c:f>'1.2'!$A$126:$B$188</c:f>
              <c:multiLvlStrCache>
                <c:ptCount val="63"/>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lvl>
                <c:lvl>
                  <c:pt idx="0">
                    <c:v>2021</c:v>
                  </c:pt>
                  <c:pt idx="12">
                    <c:v>2022</c:v>
                  </c:pt>
                  <c:pt idx="24">
                    <c:v>2023</c:v>
                  </c:pt>
                  <c:pt idx="36">
                    <c:v>2024</c:v>
                  </c:pt>
                  <c:pt idx="48">
                    <c:v>2025</c:v>
                  </c:pt>
                  <c:pt idx="60">
                    <c:v>2026</c:v>
                  </c:pt>
                </c:lvl>
              </c:multiLvlStrCache>
            </c:multiLvlStrRef>
          </c:cat>
          <c:val>
            <c:numRef>
              <c:extLst>
                <c:ext xmlns:c15="http://schemas.microsoft.com/office/drawing/2012/chart" uri="{02D57815-91ED-43cb-92C2-25804820EDAC}">
                  <c15:fullRef>
                    <c15:sqref>'1.2'!$G$102:$G$188</c15:sqref>
                  </c15:fullRef>
                </c:ext>
              </c:extLst>
              <c:f>'1.2'!$G$126:$G$188</c:f>
              <c:numCache>
                <c:formatCode>#,##0.00_);[Red]\(#,##0.00\)</c:formatCode>
                <c:ptCount val="63"/>
                <c:pt idx="0">
                  <c:v>10005.907891065881</c:v>
                </c:pt>
                <c:pt idx="1">
                  <c:v>10045.655659587872</c:v>
                </c:pt>
                <c:pt idx="2">
                  <c:v>10298.359036692249</c:v>
                </c:pt>
                <c:pt idx="3">
                  <c:v>10509.499279944153</c:v>
                </c:pt>
                <c:pt idx="4">
                  <c:v>10539.65635500403</c:v>
                </c:pt>
                <c:pt idx="5">
                  <c:v>10459.523594060796</c:v>
                </c:pt>
                <c:pt idx="6">
                  <c:v>10446.313795554015</c:v>
                </c:pt>
                <c:pt idx="7">
                  <c:v>10356.3985453147</c:v>
                </c:pt>
                <c:pt idx="8">
                  <c:v>10290.926852202976</c:v>
                </c:pt>
                <c:pt idx="9">
                  <c:v>9977.1023363021905</c:v>
                </c:pt>
                <c:pt idx="10">
                  <c:v>9979.2070551721044</c:v>
                </c:pt>
                <c:pt idx="11">
                  <c:v>10058.388209957551</c:v>
                </c:pt>
                <c:pt idx="12">
                  <c:v>10128.904279594539</c:v>
                </c:pt>
                <c:pt idx="13">
                  <c:v>10131.40977750562</c:v>
                </c:pt>
                <c:pt idx="14">
                  <c:v>10062.266285289639</c:v>
                </c:pt>
                <c:pt idx="15">
                  <c:v>10089.717899416808</c:v>
                </c:pt>
                <c:pt idx="16">
                  <c:v>10252.846360706533</c:v>
                </c:pt>
                <c:pt idx="17">
                  <c:v>10187.36514504367</c:v>
                </c:pt>
                <c:pt idx="18">
                  <c:v>10447.957248647193</c:v>
                </c:pt>
                <c:pt idx="19">
                  <c:v>10411.789408829361</c:v>
                </c:pt>
                <c:pt idx="20">
                  <c:v>10693.533172220759</c:v>
                </c:pt>
                <c:pt idx="21">
                  <c:v>10317.101965261802</c:v>
                </c:pt>
                <c:pt idx="22">
                  <c:v>10180.388367971998</c:v>
                </c:pt>
                <c:pt idx="23">
                  <c:v>10185.171436569288</c:v>
                </c:pt>
                <c:pt idx="24">
                  <c:v>10197.04679602021</c:v>
                </c:pt>
                <c:pt idx="25">
                  <c:v>10495.644213456011</c:v>
                </c:pt>
                <c:pt idx="26">
                  <c:v>10188.859909562827</c:v>
                </c:pt>
                <c:pt idx="27">
                  <c:v>10085.163466251885</c:v>
                </c:pt>
                <c:pt idx="28">
                  <c:v>10255.186844397987</c:v>
                </c:pt>
                <c:pt idx="29">
                  <c:v>10336.244510859848</c:v>
                </c:pt>
                <c:pt idx="30">
                  <c:v>10500.888249397212</c:v>
                </c:pt>
                <c:pt idx="31">
                  <c:v>10673.66274047578</c:v>
                </c:pt>
                <c:pt idx="32">
                  <c:v>10314.295401529804</c:v>
                </c:pt>
                <c:pt idx="33">
                  <c:v>10717.906759671674</c:v>
                </c:pt>
                <c:pt idx="34">
                  <c:v>10547.492703494447</c:v>
                </c:pt>
                <c:pt idx="35">
                  <c:v>10580.003459967984</c:v>
                </c:pt>
                <c:pt idx="36">
                  <c:v>10725.747919241301</c:v>
                </c:pt>
                <c:pt idx="37">
                  <c:v>10788.373783737043</c:v>
                </c:pt>
                <c:pt idx="38">
                  <c:v>10773.46909293854</c:v>
                </c:pt>
                <c:pt idx="39">
                  <c:v>10811.491044334965</c:v>
                </c:pt>
                <c:pt idx="40">
                  <c:v>11016.451321681019</c:v>
                </c:pt>
                <c:pt idx="41">
                  <c:v>11030.37810872378</c:v>
                </c:pt>
                <c:pt idx="42">
                  <c:v>11198.565965642936</c:v>
                </c:pt>
                <c:pt idx="43">
                  <c:v>10934.670193229183</c:v>
                </c:pt>
                <c:pt idx="44">
                  <c:v>10994.448912102482</c:v>
                </c:pt>
                <c:pt idx="45">
                  <c:v>11137.835906102424</c:v>
                </c:pt>
                <c:pt idx="46">
                  <c:v>11052.491101657717</c:v>
                </c:pt>
                <c:pt idx="47">
                  <c:v>11236.362121484188</c:v>
                </c:pt>
                <c:pt idx="48">
                  <c:v>11045.806735859616</c:v>
                </c:pt>
                <c:pt idx="49">
                  <c:v>11299.00302078946</c:v>
                </c:pt>
                <c:pt idx="50">
                  <c:v>11249.141647748349</c:v>
                </c:pt>
                <c:pt idx="51">
                  <c:v>11165.368457345216</c:v>
                </c:pt>
                <c:pt idx="52">
                  <c:v>11409.773848316905</c:v>
                </c:pt>
                <c:pt idx="53">
                  <c:v>11137.175136527598</c:v>
                </c:pt>
                <c:pt idx="54">
                  <c:v>11358.909923371562</c:v>
                </c:pt>
                <c:pt idx="55">
                  <c:v>11692.696070943577</c:v>
                </c:pt>
                <c:pt idx="56">
                  <c:v>11478.237387352008</c:v>
                </c:pt>
                <c:pt idx="57">
                  <c:v>11437.889838174291</c:v>
                </c:pt>
                <c:pt idx="58">
                  <c:v>11718.909312684562</c:v>
                </c:pt>
                <c:pt idx="59">
                  <c:v>11497.660713422629</c:v>
                </c:pt>
                <c:pt idx="60">
                  <c:v>11617.300804813678</c:v>
                </c:pt>
                <c:pt idx="61">
                  <c:v>11217.708769244315</c:v>
                </c:pt>
                <c:pt idx="62">
                  <c:v>11133.687865447459</c:v>
                </c:pt>
              </c:numCache>
            </c:numRef>
          </c:val>
          <c:smooth val="0"/>
          <c:extLst>
            <c:ext xmlns:c15="http://schemas.microsoft.com/office/drawing/2012/chart" uri="{02D57815-91ED-43cb-92C2-25804820EDAC}">
              <c15:categoryFilterExceptions>
                <c15:categoryFilterException>
                  <c15:sqref>'1.2'!$G$102</c15:sqref>
                  <c15:dLbl>
                    <c:idx val="-1"/>
                    <c:delete val="1"/>
                    <c:extLst>
                      <c:ext uri="{CE6537A1-D6FC-4f65-9D91-7224C49458BB}"/>
                      <c:ext xmlns:c16="http://schemas.microsoft.com/office/drawing/2014/chart" uri="{C3380CC4-5D6E-409C-BE32-E72D297353CC}">
                        <c16:uniqueId val="{00000018-783C-4189-AAC4-A4A3A906CE0B}"/>
                      </c:ext>
                    </c:extLst>
                  </c15:dLbl>
                </c15:categoryFilterException>
                <c15:categoryFilterException>
                  <c15:sqref>'1.2'!$G$103</c15:sqref>
                  <c15:dLbl>
                    <c:idx val="-1"/>
                    <c:delete val="1"/>
                    <c:extLst>
                      <c:ext uri="{CE6537A1-D6FC-4f65-9D91-7224C49458BB}"/>
                      <c:ext xmlns:c16="http://schemas.microsoft.com/office/drawing/2014/chart" uri="{C3380CC4-5D6E-409C-BE32-E72D297353CC}">
                        <c16:uniqueId val="{00000019-783C-4189-AAC4-A4A3A906CE0B}"/>
                      </c:ext>
                    </c:extLst>
                  </c15:dLbl>
                </c15:categoryFilterException>
                <c15:categoryFilterException>
                  <c15:sqref>'1.2'!$G$104</c15:sqref>
                  <c15:dLbl>
                    <c:idx val="-1"/>
                    <c:delete val="1"/>
                    <c:extLst>
                      <c:ext uri="{CE6537A1-D6FC-4f65-9D91-7224C49458BB}"/>
                      <c:ext xmlns:c16="http://schemas.microsoft.com/office/drawing/2014/chart" uri="{C3380CC4-5D6E-409C-BE32-E72D297353CC}">
                        <c16:uniqueId val="{0000001A-783C-4189-AAC4-A4A3A906CE0B}"/>
                      </c:ext>
                    </c:extLst>
                  </c15:dLbl>
                </c15:categoryFilterException>
                <c15:categoryFilterException>
                  <c15:sqref>'1.2'!$G$105</c15:sqref>
                  <c15:dLbl>
                    <c:idx val="-1"/>
                    <c:delete val="1"/>
                    <c:extLst>
                      <c:ext uri="{CE6537A1-D6FC-4f65-9D91-7224C49458BB}"/>
                      <c:ext xmlns:c16="http://schemas.microsoft.com/office/drawing/2014/chart" uri="{C3380CC4-5D6E-409C-BE32-E72D297353CC}">
                        <c16:uniqueId val="{0000001B-783C-4189-AAC4-A4A3A906CE0B}"/>
                      </c:ext>
                    </c:extLst>
                  </c15:dLbl>
                </c15:categoryFilterException>
                <c15:categoryFilterException>
                  <c15:sqref>'1.2'!$G$106</c15:sqref>
                  <c15:dLbl>
                    <c:idx val="-1"/>
                    <c:delete val="1"/>
                    <c:extLst>
                      <c:ext uri="{CE6537A1-D6FC-4f65-9D91-7224C49458BB}"/>
                      <c:ext xmlns:c16="http://schemas.microsoft.com/office/drawing/2014/chart" uri="{C3380CC4-5D6E-409C-BE32-E72D297353CC}">
                        <c16:uniqueId val="{0000001C-783C-4189-AAC4-A4A3A906CE0B}"/>
                      </c:ext>
                    </c:extLst>
                  </c15:dLbl>
                </c15:categoryFilterException>
                <c15:categoryFilterException>
                  <c15:sqref>'1.2'!$G$107</c15:sqref>
                  <c15:dLbl>
                    <c:idx val="-1"/>
                    <c:delete val="1"/>
                    <c:extLst>
                      <c:ext uri="{CE6537A1-D6FC-4f65-9D91-7224C49458BB}"/>
                      <c:ext xmlns:c16="http://schemas.microsoft.com/office/drawing/2014/chart" uri="{C3380CC4-5D6E-409C-BE32-E72D297353CC}">
                        <c16:uniqueId val="{0000001D-783C-4189-AAC4-A4A3A906CE0B}"/>
                      </c:ext>
                    </c:extLst>
                  </c15:dLbl>
                </c15:categoryFilterException>
                <c15:categoryFilterException>
                  <c15:sqref>'1.2'!$G$108</c15:sqref>
                  <c15:dLbl>
                    <c:idx val="-1"/>
                    <c:delete val="1"/>
                    <c:extLst>
                      <c:ext uri="{CE6537A1-D6FC-4f65-9D91-7224C49458BB}"/>
                      <c:ext xmlns:c16="http://schemas.microsoft.com/office/drawing/2014/chart" uri="{C3380CC4-5D6E-409C-BE32-E72D297353CC}">
                        <c16:uniqueId val="{0000001E-783C-4189-AAC4-A4A3A906CE0B}"/>
                      </c:ext>
                    </c:extLst>
                  </c15:dLbl>
                </c15:categoryFilterException>
                <c15:categoryFilterException>
                  <c15:sqref>'1.2'!$G$109</c15:sqref>
                  <c15:dLbl>
                    <c:idx val="-1"/>
                    <c:delete val="1"/>
                    <c:extLst>
                      <c:ext uri="{CE6537A1-D6FC-4f65-9D91-7224C49458BB}"/>
                      <c:ext xmlns:c16="http://schemas.microsoft.com/office/drawing/2014/chart" uri="{C3380CC4-5D6E-409C-BE32-E72D297353CC}">
                        <c16:uniqueId val="{0000001F-783C-4189-AAC4-A4A3A906CE0B}"/>
                      </c:ext>
                    </c:extLst>
                  </c15:dLbl>
                </c15:categoryFilterException>
                <c15:categoryFilterException>
                  <c15:sqref>'1.2'!$G$110</c15:sqref>
                  <c15:dLbl>
                    <c:idx val="-1"/>
                    <c:delete val="1"/>
                    <c:extLst>
                      <c:ext uri="{CE6537A1-D6FC-4f65-9D91-7224C49458BB}"/>
                      <c:ext xmlns:c16="http://schemas.microsoft.com/office/drawing/2014/chart" uri="{C3380CC4-5D6E-409C-BE32-E72D297353CC}">
                        <c16:uniqueId val="{00000020-783C-4189-AAC4-A4A3A906CE0B}"/>
                      </c:ext>
                    </c:extLst>
                  </c15:dLbl>
                </c15:categoryFilterException>
                <c15:categoryFilterException>
                  <c15:sqref>'1.2'!$G$111</c15:sqref>
                  <c15:dLbl>
                    <c:idx val="-1"/>
                    <c:delete val="1"/>
                    <c:extLst>
                      <c:ext uri="{CE6537A1-D6FC-4f65-9D91-7224C49458BB}"/>
                      <c:ext xmlns:c16="http://schemas.microsoft.com/office/drawing/2014/chart" uri="{C3380CC4-5D6E-409C-BE32-E72D297353CC}">
                        <c16:uniqueId val="{00000021-783C-4189-AAC4-A4A3A906CE0B}"/>
                      </c:ext>
                    </c:extLst>
                  </c15:dLbl>
                </c15:categoryFilterException>
                <c15:categoryFilterException>
                  <c15:sqref>'1.2'!$G$112</c15:sqref>
                  <c15:dLbl>
                    <c:idx val="-1"/>
                    <c:delete val="1"/>
                    <c:extLst>
                      <c:ext uri="{CE6537A1-D6FC-4f65-9D91-7224C49458BB}"/>
                      <c:ext xmlns:c16="http://schemas.microsoft.com/office/drawing/2014/chart" uri="{C3380CC4-5D6E-409C-BE32-E72D297353CC}">
                        <c16:uniqueId val="{00000022-783C-4189-AAC4-A4A3A906CE0B}"/>
                      </c:ext>
                    </c:extLst>
                  </c15:dLbl>
                </c15:categoryFilterException>
                <c15:categoryFilterException>
                  <c15:sqref>'1.2'!$G$113</c15:sqref>
                  <c15:dLbl>
                    <c:idx val="-1"/>
                    <c:delete val="1"/>
                    <c:extLst>
                      <c:ext uri="{CE6537A1-D6FC-4f65-9D91-7224C49458BB}"/>
                      <c:ext xmlns:c16="http://schemas.microsoft.com/office/drawing/2014/chart" uri="{C3380CC4-5D6E-409C-BE32-E72D297353CC}">
                        <c16:uniqueId val="{00000023-783C-4189-AAC4-A4A3A906CE0B}"/>
                      </c:ext>
                    </c:extLst>
                  </c15:dLbl>
                </c15:categoryFilterException>
                <c15:categoryFilterException>
                  <c15:sqref>'1.2'!$G$114</c15:sqref>
                  <c15:dLbl>
                    <c:idx val="-1"/>
                    <c:delete val="1"/>
                    <c:extLst>
                      <c:ext uri="{CE6537A1-D6FC-4f65-9D91-7224C49458BB}"/>
                      <c:ext xmlns:c16="http://schemas.microsoft.com/office/drawing/2014/chart" uri="{C3380CC4-5D6E-409C-BE32-E72D297353CC}">
                        <c16:uniqueId val="{00000024-783C-4189-AAC4-A4A3A906CE0B}"/>
                      </c:ext>
                    </c:extLst>
                  </c15:dLbl>
                </c15:categoryFilterException>
                <c15:categoryFilterException>
                  <c15:sqref>'1.2'!$G$115</c15:sqref>
                  <c15:dLbl>
                    <c:idx val="-1"/>
                    <c:delete val="1"/>
                    <c:extLst>
                      <c:ext uri="{CE6537A1-D6FC-4f65-9D91-7224C49458BB}"/>
                      <c:ext xmlns:c16="http://schemas.microsoft.com/office/drawing/2014/chart" uri="{C3380CC4-5D6E-409C-BE32-E72D297353CC}">
                        <c16:uniqueId val="{00000025-783C-4189-AAC4-A4A3A906CE0B}"/>
                      </c:ext>
                    </c:extLst>
                  </c15:dLbl>
                </c15:categoryFilterException>
                <c15:categoryFilterException>
                  <c15:sqref>'1.2'!$G$116</c15:sqref>
                  <c15:dLbl>
                    <c:idx val="-1"/>
                    <c:delete val="1"/>
                    <c:extLst>
                      <c:ext uri="{CE6537A1-D6FC-4f65-9D91-7224C49458BB}"/>
                      <c:ext xmlns:c16="http://schemas.microsoft.com/office/drawing/2014/chart" uri="{C3380CC4-5D6E-409C-BE32-E72D297353CC}">
                        <c16:uniqueId val="{00000026-783C-4189-AAC4-A4A3A906CE0B}"/>
                      </c:ext>
                    </c:extLst>
                  </c15:dLbl>
                </c15:categoryFilterException>
                <c15:categoryFilterException>
                  <c15:sqref>'1.2'!$G$117</c15:sqref>
                  <c15:dLbl>
                    <c:idx val="-1"/>
                    <c:delete val="1"/>
                    <c:extLst>
                      <c:ext uri="{CE6537A1-D6FC-4f65-9D91-7224C49458BB}"/>
                      <c:ext xmlns:c16="http://schemas.microsoft.com/office/drawing/2014/chart" uri="{C3380CC4-5D6E-409C-BE32-E72D297353CC}">
                        <c16:uniqueId val="{00000027-783C-4189-AAC4-A4A3A906CE0B}"/>
                      </c:ext>
                    </c:extLst>
                  </c15:dLbl>
                </c15:categoryFilterException>
                <c15:categoryFilterException>
                  <c15:sqref>'1.2'!$G$118</c15:sqref>
                  <c15:dLbl>
                    <c:idx val="-1"/>
                    <c:delete val="1"/>
                    <c:extLst>
                      <c:ext uri="{CE6537A1-D6FC-4f65-9D91-7224C49458BB}"/>
                      <c:ext xmlns:c16="http://schemas.microsoft.com/office/drawing/2014/chart" uri="{C3380CC4-5D6E-409C-BE32-E72D297353CC}">
                        <c16:uniqueId val="{00000028-783C-4189-AAC4-A4A3A906CE0B}"/>
                      </c:ext>
                    </c:extLst>
                  </c15:dLbl>
                </c15:categoryFilterException>
                <c15:categoryFilterException>
                  <c15:sqref>'1.2'!$G$119</c15:sqref>
                  <c15:dLbl>
                    <c:idx val="-1"/>
                    <c:delete val="1"/>
                    <c:extLst>
                      <c:ext uri="{CE6537A1-D6FC-4f65-9D91-7224C49458BB}"/>
                      <c:ext xmlns:c16="http://schemas.microsoft.com/office/drawing/2014/chart" uri="{C3380CC4-5D6E-409C-BE32-E72D297353CC}">
                        <c16:uniqueId val="{00000029-783C-4189-AAC4-A4A3A906CE0B}"/>
                      </c:ext>
                    </c:extLst>
                  </c15:dLbl>
                </c15:categoryFilterException>
                <c15:categoryFilterException>
                  <c15:sqref>'1.2'!$G$120</c15:sqref>
                  <c15:dLbl>
                    <c:idx val="-1"/>
                    <c:delete val="1"/>
                    <c:extLst>
                      <c:ext uri="{CE6537A1-D6FC-4f65-9D91-7224C49458BB}"/>
                      <c:ext xmlns:c16="http://schemas.microsoft.com/office/drawing/2014/chart" uri="{C3380CC4-5D6E-409C-BE32-E72D297353CC}">
                        <c16:uniqueId val="{0000002A-783C-4189-AAC4-A4A3A906CE0B}"/>
                      </c:ext>
                    </c:extLst>
                  </c15:dLbl>
                </c15:categoryFilterException>
                <c15:categoryFilterException>
                  <c15:sqref>'1.2'!$G$121</c15:sqref>
                  <c15:dLbl>
                    <c:idx val="-1"/>
                    <c:delete val="1"/>
                    <c:extLst>
                      <c:ext uri="{CE6537A1-D6FC-4f65-9D91-7224C49458BB}"/>
                      <c:ext xmlns:c16="http://schemas.microsoft.com/office/drawing/2014/chart" uri="{C3380CC4-5D6E-409C-BE32-E72D297353CC}">
                        <c16:uniqueId val="{0000002B-783C-4189-AAC4-A4A3A906CE0B}"/>
                      </c:ext>
                    </c:extLst>
                  </c15:dLbl>
                </c15:categoryFilterException>
                <c15:categoryFilterException>
                  <c15:sqref>'1.2'!$G$122</c15:sqref>
                  <c15:dLbl>
                    <c:idx val="-1"/>
                    <c:delete val="1"/>
                    <c:extLst>
                      <c:ext uri="{CE6537A1-D6FC-4f65-9D91-7224C49458BB}"/>
                      <c:ext xmlns:c16="http://schemas.microsoft.com/office/drawing/2014/chart" uri="{C3380CC4-5D6E-409C-BE32-E72D297353CC}">
                        <c16:uniqueId val="{0000002C-783C-4189-AAC4-A4A3A906CE0B}"/>
                      </c:ext>
                    </c:extLst>
                  </c15:dLbl>
                </c15:categoryFilterException>
                <c15:categoryFilterException>
                  <c15:sqref>'1.2'!$G$123</c15:sqref>
                  <c15:dLbl>
                    <c:idx val="-1"/>
                    <c:delete val="1"/>
                    <c:extLst>
                      <c:ext uri="{CE6537A1-D6FC-4f65-9D91-7224C49458BB}"/>
                      <c:ext xmlns:c16="http://schemas.microsoft.com/office/drawing/2014/chart" uri="{C3380CC4-5D6E-409C-BE32-E72D297353CC}">
                        <c16:uniqueId val="{0000002D-783C-4189-AAC4-A4A3A906CE0B}"/>
                      </c:ext>
                    </c:extLst>
                  </c15:dLbl>
                </c15:categoryFilterException>
                <c15:categoryFilterException>
                  <c15:sqref>'1.2'!$G$124</c15:sqref>
                  <c15:dLbl>
                    <c:idx val="-1"/>
                    <c:delete val="1"/>
                    <c:extLst>
                      <c:ext uri="{CE6537A1-D6FC-4f65-9D91-7224C49458BB}"/>
                      <c:ext xmlns:c16="http://schemas.microsoft.com/office/drawing/2014/chart" uri="{C3380CC4-5D6E-409C-BE32-E72D297353CC}">
                        <c16:uniqueId val="{0000002E-783C-4189-AAC4-A4A3A906CE0B}"/>
                      </c:ext>
                    </c:extLst>
                  </c15:dLbl>
                </c15:categoryFilterException>
                <c15:categoryFilterException>
                  <c15:sqref>'1.2'!$G$125</c15:sqref>
                  <c15:dLbl>
                    <c:idx val="-1"/>
                    <c:delete val="1"/>
                    <c:extLst>
                      <c:ext uri="{CE6537A1-D6FC-4f65-9D91-7224C49458BB}"/>
                      <c:ext xmlns:c16="http://schemas.microsoft.com/office/drawing/2014/chart" uri="{C3380CC4-5D6E-409C-BE32-E72D297353CC}">
                        <c16:uniqueId val="{0000002F-783C-4189-AAC4-A4A3A906CE0B}"/>
                      </c:ext>
                    </c:extLst>
                  </c15:dLbl>
                </c15:categoryFilterException>
              </c15:categoryFilterExceptions>
            </c:ext>
            <c:ext xmlns:c16="http://schemas.microsoft.com/office/drawing/2014/chart" uri="{C3380CC4-5D6E-409C-BE32-E72D297353CC}">
              <c16:uniqueId val="{00000003-1DEA-4E31-8FF0-AAEE9D765F0D}"/>
            </c:ext>
          </c:extLst>
        </c:ser>
        <c:ser>
          <c:idx val="2"/>
          <c:order val="2"/>
          <c:tx>
            <c:v>Broad Money</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54-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55-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56-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57-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58-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59-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5A-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5B-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5C-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5D-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5E-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5F-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60-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61-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62-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63-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64-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65-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66-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67-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68-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69-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6A-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6B-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1A-6DE8-4731-B803-96064405E682}"/>
                </c:ext>
              </c:extLst>
            </c:dLbl>
            <c:dLbl>
              <c:idx val="25"/>
              <c:delete val="1"/>
              <c:extLst>
                <c:ext xmlns:c15="http://schemas.microsoft.com/office/drawing/2012/chart" uri="{CE6537A1-D6FC-4f65-9D91-7224C49458BB}"/>
                <c:ext xmlns:c16="http://schemas.microsoft.com/office/drawing/2014/chart" uri="{C3380CC4-5D6E-409C-BE32-E72D297353CC}">
                  <c16:uniqueId val="{00000019-6DE8-4731-B803-96064405E682}"/>
                </c:ext>
              </c:extLst>
            </c:dLbl>
            <c:dLbl>
              <c:idx val="26"/>
              <c:delete val="1"/>
              <c:extLst>
                <c:ext xmlns:c15="http://schemas.microsoft.com/office/drawing/2012/chart" uri="{CE6537A1-D6FC-4f65-9D91-7224C49458BB}"/>
                <c:ext xmlns:c16="http://schemas.microsoft.com/office/drawing/2014/chart" uri="{C3380CC4-5D6E-409C-BE32-E72D297353CC}">
                  <c16:uniqueId val="{00000018-6DE8-4731-B803-96064405E682}"/>
                </c:ext>
              </c:extLst>
            </c:dLbl>
            <c:dLbl>
              <c:idx val="27"/>
              <c:delete val="1"/>
              <c:extLst>
                <c:ext xmlns:c15="http://schemas.microsoft.com/office/drawing/2012/chart" uri="{CE6537A1-D6FC-4f65-9D91-7224C49458BB}"/>
                <c:ext xmlns:c16="http://schemas.microsoft.com/office/drawing/2014/chart" uri="{C3380CC4-5D6E-409C-BE32-E72D297353CC}">
                  <c16:uniqueId val="{00000017-6DE8-4731-B803-96064405E682}"/>
                </c:ext>
              </c:extLst>
            </c:dLbl>
            <c:dLbl>
              <c:idx val="28"/>
              <c:delete val="1"/>
              <c:extLst>
                <c:ext xmlns:c15="http://schemas.microsoft.com/office/drawing/2012/chart" uri="{CE6537A1-D6FC-4f65-9D91-7224C49458BB}"/>
                <c:ext xmlns:c16="http://schemas.microsoft.com/office/drawing/2014/chart" uri="{C3380CC4-5D6E-409C-BE32-E72D297353CC}">
                  <c16:uniqueId val="{00000016-6DE8-4731-B803-96064405E682}"/>
                </c:ext>
              </c:extLst>
            </c:dLbl>
            <c:dLbl>
              <c:idx val="29"/>
              <c:delete val="1"/>
              <c:extLst>
                <c:ext xmlns:c15="http://schemas.microsoft.com/office/drawing/2012/chart" uri="{CE6537A1-D6FC-4f65-9D91-7224C49458BB}"/>
                <c:ext xmlns:c16="http://schemas.microsoft.com/office/drawing/2014/chart" uri="{C3380CC4-5D6E-409C-BE32-E72D297353CC}">
                  <c16:uniqueId val="{00000015-6DE8-4731-B803-96064405E682}"/>
                </c:ext>
              </c:extLst>
            </c:dLbl>
            <c:dLbl>
              <c:idx val="30"/>
              <c:delete val="1"/>
              <c:extLst>
                <c:ext xmlns:c15="http://schemas.microsoft.com/office/drawing/2012/chart" uri="{CE6537A1-D6FC-4f65-9D91-7224C49458BB}"/>
                <c:ext xmlns:c16="http://schemas.microsoft.com/office/drawing/2014/chart" uri="{C3380CC4-5D6E-409C-BE32-E72D297353CC}">
                  <c16:uniqueId val="{00000014-6DE8-4731-B803-96064405E682}"/>
                </c:ext>
              </c:extLst>
            </c:dLbl>
            <c:dLbl>
              <c:idx val="31"/>
              <c:delete val="1"/>
              <c:extLst>
                <c:ext xmlns:c15="http://schemas.microsoft.com/office/drawing/2012/chart" uri="{CE6537A1-D6FC-4f65-9D91-7224C49458BB}"/>
                <c:ext xmlns:c16="http://schemas.microsoft.com/office/drawing/2014/chart" uri="{C3380CC4-5D6E-409C-BE32-E72D297353CC}">
                  <c16:uniqueId val="{00000013-6DE8-4731-B803-96064405E682}"/>
                </c:ext>
              </c:extLst>
            </c:dLbl>
            <c:dLbl>
              <c:idx val="32"/>
              <c:delete val="1"/>
              <c:extLst>
                <c:ext xmlns:c15="http://schemas.microsoft.com/office/drawing/2012/chart" uri="{CE6537A1-D6FC-4f65-9D91-7224C49458BB}"/>
                <c:ext xmlns:c16="http://schemas.microsoft.com/office/drawing/2014/chart" uri="{C3380CC4-5D6E-409C-BE32-E72D297353CC}">
                  <c16:uniqueId val="{00000012-6DE8-4731-B803-96064405E682}"/>
                </c:ext>
              </c:extLst>
            </c:dLbl>
            <c:dLbl>
              <c:idx val="33"/>
              <c:delete val="1"/>
              <c:extLst>
                <c:ext xmlns:c15="http://schemas.microsoft.com/office/drawing/2012/chart" uri="{CE6537A1-D6FC-4f65-9D91-7224C49458BB}"/>
                <c:ext xmlns:c16="http://schemas.microsoft.com/office/drawing/2014/chart" uri="{C3380CC4-5D6E-409C-BE32-E72D297353CC}">
                  <c16:uniqueId val="{00000011-6DE8-4731-B803-96064405E682}"/>
                </c:ext>
              </c:extLst>
            </c:dLbl>
            <c:dLbl>
              <c:idx val="34"/>
              <c:delete val="1"/>
              <c:extLst>
                <c:ext xmlns:c15="http://schemas.microsoft.com/office/drawing/2012/chart" uri="{CE6537A1-D6FC-4f65-9D91-7224C49458BB}"/>
                <c:ext xmlns:c16="http://schemas.microsoft.com/office/drawing/2014/chart" uri="{C3380CC4-5D6E-409C-BE32-E72D297353CC}">
                  <c16:uniqueId val="{00000010-6DE8-4731-B803-96064405E682}"/>
                </c:ext>
              </c:extLst>
            </c:dLbl>
            <c:dLbl>
              <c:idx val="35"/>
              <c:delete val="1"/>
              <c:extLst>
                <c:ext xmlns:c15="http://schemas.microsoft.com/office/drawing/2012/chart" uri="{CE6537A1-D6FC-4f65-9D91-7224C49458BB}"/>
                <c:ext xmlns:c16="http://schemas.microsoft.com/office/drawing/2014/chart" uri="{C3380CC4-5D6E-409C-BE32-E72D297353CC}">
                  <c16:uniqueId val="{0000000F-6DE8-4731-B803-96064405E682}"/>
                </c:ext>
              </c:extLst>
            </c:dLbl>
            <c:dLbl>
              <c:idx val="36"/>
              <c:delete val="1"/>
              <c:extLst>
                <c:ext xmlns:c15="http://schemas.microsoft.com/office/drawing/2012/chart" uri="{CE6537A1-D6FC-4f65-9D91-7224C49458BB}"/>
                <c:ext xmlns:c16="http://schemas.microsoft.com/office/drawing/2014/chart" uri="{C3380CC4-5D6E-409C-BE32-E72D297353CC}">
                  <c16:uniqueId val="{00000007-CAB2-4E2F-9378-EE3BD45BCDC1}"/>
                </c:ext>
              </c:extLst>
            </c:dLbl>
            <c:dLbl>
              <c:idx val="37"/>
              <c:delete val="1"/>
              <c:extLst>
                <c:ext xmlns:c15="http://schemas.microsoft.com/office/drawing/2012/chart" uri="{CE6537A1-D6FC-4f65-9D91-7224C49458BB}"/>
                <c:ext xmlns:c16="http://schemas.microsoft.com/office/drawing/2014/chart" uri="{C3380CC4-5D6E-409C-BE32-E72D297353CC}">
                  <c16:uniqueId val="{00000008-CAB2-4E2F-9378-EE3BD45BCDC1}"/>
                </c:ext>
              </c:extLst>
            </c:dLbl>
            <c:dLbl>
              <c:idx val="38"/>
              <c:delete val="1"/>
              <c:extLst>
                <c:ext xmlns:c15="http://schemas.microsoft.com/office/drawing/2012/chart" uri="{CE6537A1-D6FC-4f65-9D91-7224C49458BB}"/>
                <c:ext xmlns:c16="http://schemas.microsoft.com/office/drawing/2014/chart" uri="{C3380CC4-5D6E-409C-BE32-E72D297353CC}">
                  <c16:uniqueId val="{00000009-CAB2-4E2F-9378-EE3BD45BCDC1}"/>
                </c:ext>
              </c:extLst>
            </c:dLbl>
            <c:dLbl>
              <c:idx val="39"/>
              <c:delete val="1"/>
              <c:extLst>
                <c:ext xmlns:c15="http://schemas.microsoft.com/office/drawing/2012/chart" uri="{CE6537A1-D6FC-4f65-9D91-7224C49458BB}"/>
                <c:ext xmlns:c16="http://schemas.microsoft.com/office/drawing/2014/chart" uri="{C3380CC4-5D6E-409C-BE32-E72D297353CC}">
                  <c16:uniqueId val="{00000008-711C-452C-A8B4-F6E980912887}"/>
                </c:ext>
              </c:extLst>
            </c:dLbl>
            <c:dLbl>
              <c:idx val="40"/>
              <c:delete val="1"/>
              <c:extLst>
                <c:ext xmlns:c15="http://schemas.microsoft.com/office/drawing/2012/chart" uri="{CE6537A1-D6FC-4f65-9D91-7224C49458BB}"/>
                <c:ext xmlns:c16="http://schemas.microsoft.com/office/drawing/2014/chart" uri="{C3380CC4-5D6E-409C-BE32-E72D297353CC}">
                  <c16:uniqueId val="{00000007-711C-452C-A8B4-F6E980912887}"/>
                </c:ext>
              </c:extLst>
            </c:dLbl>
            <c:dLbl>
              <c:idx val="41"/>
              <c:delete val="1"/>
              <c:extLst>
                <c:ext xmlns:c15="http://schemas.microsoft.com/office/drawing/2012/chart" uri="{CE6537A1-D6FC-4f65-9D91-7224C49458BB}"/>
                <c:ext xmlns:c16="http://schemas.microsoft.com/office/drawing/2014/chart" uri="{C3380CC4-5D6E-409C-BE32-E72D297353CC}">
                  <c16:uniqueId val="{00000006-711C-452C-A8B4-F6E980912887}"/>
                </c:ext>
              </c:extLst>
            </c:dLbl>
            <c:dLbl>
              <c:idx val="42"/>
              <c:delete val="1"/>
              <c:extLst>
                <c:ext xmlns:c15="http://schemas.microsoft.com/office/drawing/2012/chart" uri="{CE6537A1-D6FC-4f65-9D91-7224C49458BB}"/>
                <c:ext xmlns:c16="http://schemas.microsoft.com/office/drawing/2014/chart" uri="{C3380CC4-5D6E-409C-BE32-E72D297353CC}">
                  <c16:uniqueId val="{00000002-B628-4BAE-A7C1-10CFEFCF6645}"/>
                </c:ext>
              </c:extLst>
            </c:dLbl>
            <c:dLbl>
              <c:idx val="43"/>
              <c:delete val="1"/>
              <c:extLst>
                <c:ext xmlns:c15="http://schemas.microsoft.com/office/drawing/2012/chart" uri="{CE6537A1-D6FC-4f65-9D91-7224C49458BB}"/>
                <c:ext xmlns:c16="http://schemas.microsoft.com/office/drawing/2014/chart" uri="{C3380CC4-5D6E-409C-BE32-E72D297353CC}">
                  <c16:uniqueId val="{00000001-B628-4BAE-A7C1-10CFEFCF6645}"/>
                </c:ext>
              </c:extLst>
            </c:dLbl>
            <c:dLbl>
              <c:idx val="44"/>
              <c:delete val="1"/>
              <c:extLst>
                <c:ext xmlns:c15="http://schemas.microsoft.com/office/drawing/2012/chart" uri="{CE6537A1-D6FC-4f65-9D91-7224C49458BB}"/>
                <c:ext xmlns:c16="http://schemas.microsoft.com/office/drawing/2014/chart" uri="{C3380CC4-5D6E-409C-BE32-E72D297353CC}">
                  <c16:uniqueId val="{00000000-B628-4BAE-A7C1-10CFEFCF6645}"/>
                </c:ext>
              </c:extLst>
            </c:dLbl>
            <c:dLbl>
              <c:idx val="45"/>
              <c:delete val="1"/>
              <c:extLst>
                <c:ext xmlns:c15="http://schemas.microsoft.com/office/drawing/2012/chart" uri="{CE6537A1-D6FC-4f65-9D91-7224C49458BB}"/>
                <c:ext xmlns:c16="http://schemas.microsoft.com/office/drawing/2014/chart" uri="{C3380CC4-5D6E-409C-BE32-E72D297353CC}">
                  <c16:uniqueId val="{00000007-EE86-48DF-8198-D911B604C9A9}"/>
                </c:ext>
              </c:extLst>
            </c:dLbl>
            <c:dLbl>
              <c:idx val="46"/>
              <c:delete val="1"/>
              <c:extLst>
                <c:ext xmlns:c15="http://schemas.microsoft.com/office/drawing/2012/chart" uri="{CE6537A1-D6FC-4f65-9D91-7224C49458BB}"/>
                <c:ext xmlns:c16="http://schemas.microsoft.com/office/drawing/2014/chart" uri="{C3380CC4-5D6E-409C-BE32-E72D297353CC}">
                  <c16:uniqueId val="{00000008-EE86-48DF-8198-D911B604C9A9}"/>
                </c:ext>
              </c:extLst>
            </c:dLbl>
            <c:dLbl>
              <c:idx val="47"/>
              <c:delete val="1"/>
              <c:extLst>
                <c:ext xmlns:c15="http://schemas.microsoft.com/office/drawing/2012/chart" uri="{CE6537A1-D6FC-4f65-9D91-7224C49458BB}"/>
                <c:ext xmlns:c16="http://schemas.microsoft.com/office/drawing/2014/chart" uri="{C3380CC4-5D6E-409C-BE32-E72D297353CC}">
                  <c16:uniqueId val="{00000006-EE86-48DF-8198-D911B604C9A9}"/>
                </c:ext>
              </c:extLst>
            </c:dLbl>
            <c:dLbl>
              <c:idx val="48"/>
              <c:delete val="1"/>
              <c:extLst>
                <c:ext xmlns:c15="http://schemas.microsoft.com/office/drawing/2012/chart" uri="{CE6537A1-D6FC-4f65-9D91-7224C49458BB}"/>
                <c:ext xmlns:c16="http://schemas.microsoft.com/office/drawing/2014/chart" uri="{C3380CC4-5D6E-409C-BE32-E72D297353CC}">
                  <c16:uniqueId val="{00000000-3A76-4905-9554-7B255E8A9E17}"/>
                </c:ext>
              </c:extLst>
            </c:dLbl>
            <c:dLbl>
              <c:idx val="49"/>
              <c:delete val="1"/>
              <c:extLst>
                <c:ext xmlns:c15="http://schemas.microsoft.com/office/drawing/2012/chart" uri="{CE6537A1-D6FC-4f65-9D91-7224C49458BB}"/>
                <c:ext xmlns:c16="http://schemas.microsoft.com/office/drawing/2014/chart" uri="{C3380CC4-5D6E-409C-BE32-E72D297353CC}">
                  <c16:uniqueId val="{00000002-3A76-4905-9554-7B255E8A9E17}"/>
                </c:ext>
              </c:extLst>
            </c:dLbl>
            <c:dLbl>
              <c:idx val="50"/>
              <c:delete val="1"/>
              <c:extLst>
                <c:ext xmlns:c15="http://schemas.microsoft.com/office/drawing/2012/chart" uri="{CE6537A1-D6FC-4f65-9D91-7224C49458BB}"/>
                <c:ext xmlns:c16="http://schemas.microsoft.com/office/drawing/2014/chart" uri="{C3380CC4-5D6E-409C-BE32-E72D297353CC}">
                  <c16:uniqueId val="{00000001-3A76-4905-9554-7B255E8A9E17}"/>
                </c:ext>
              </c:extLst>
            </c:dLbl>
            <c:dLbl>
              <c:idx val="51"/>
              <c:delete val="1"/>
              <c:extLst>
                <c:ext xmlns:c15="http://schemas.microsoft.com/office/drawing/2012/chart" uri="{CE6537A1-D6FC-4f65-9D91-7224C49458BB}"/>
                <c:ext xmlns:c16="http://schemas.microsoft.com/office/drawing/2014/chart" uri="{C3380CC4-5D6E-409C-BE32-E72D297353CC}">
                  <c16:uniqueId val="{00000008-DE13-4953-9C89-6DBFA86D7BEA}"/>
                </c:ext>
              </c:extLst>
            </c:dLbl>
            <c:dLbl>
              <c:idx val="52"/>
              <c:delete val="1"/>
              <c:extLst>
                <c:ext xmlns:c15="http://schemas.microsoft.com/office/drawing/2012/chart" uri="{CE6537A1-D6FC-4f65-9D91-7224C49458BB}"/>
                <c:ext xmlns:c16="http://schemas.microsoft.com/office/drawing/2014/chart" uri="{C3380CC4-5D6E-409C-BE32-E72D297353CC}">
                  <c16:uniqueId val="{00000007-DE13-4953-9C89-6DBFA86D7BEA}"/>
                </c:ext>
              </c:extLst>
            </c:dLbl>
            <c:dLbl>
              <c:idx val="53"/>
              <c:delete val="1"/>
              <c:extLst>
                <c:ext xmlns:c15="http://schemas.microsoft.com/office/drawing/2012/chart" uri="{CE6537A1-D6FC-4f65-9D91-7224C49458BB}"/>
                <c:ext xmlns:c16="http://schemas.microsoft.com/office/drawing/2014/chart" uri="{C3380CC4-5D6E-409C-BE32-E72D297353CC}">
                  <c16:uniqueId val="{00000006-DE13-4953-9C89-6DBFA86D7BEA}"/>
                </c:ext>
              </c:extLst>
            </c:dLbl>
            <c:dLbl>
              <c:idx val="54"/>
              <c:delete val="1"/>
              <c:extLst>
                <c:ext xmlns:c15="http://schemas.microsoft.com/office/drawing/2012/chart" uri="{CE6537A1-D6FC-4f65-9D91-7224C49458BB}"/>
                <c:ext xmlns:c16="http://schemas.microsoft.com/office/drawing/2014/chart" uri="{C3380CC4-5D6E-409C-BE32-E72D297353CC}">
                  <c16:uniqueId val="{00000024-73E5-4933-BCE6-949CBF804AF5}"/>
                </c:ext>
              </c:extLst>
            </c:dLbl>
            <c:dLbl>
              <c:idx val="55"/>
              <c:delete val="1"/>
              <c:extLst>
                <c:ext xmlns:c15="http://schemas.microsoft.com/office/drawing/2012/chart" uri="{CE6537A1-D6FC-4f65-9D91-7224C49458BB}"/>
                <c:ext xmlns:c16="http://schemas.microsoft.com/office/drawing/2014/chart" uri="{C3380CC4-5D6E-409C-BE32-E72D297353CC}">
                  <c16:uniqueId val="{00000026-73E5-4933-BCE6-949CBF804AF5}"/>
                </c:ext>
              </c:extLst>
            </c:dLbl>
            <c:dLbl>
              <c:idx val="56"/>
              <c:delete val="1"/>
              <c:extLst>
                <c:ext xmlns:c15="http://schemas.microsoft.com/office/drawing/2012/chart" uri="{CE6537A1-D6FC-4f65-9D91-7224C49458BB}"/>
                <c:ext xmlns:c16="http://schemas.microsoft.com/office/drawing/2014/chart" uri="{C3380CC4-5D6E-409C-BE32-E72D297353CC}">
                  <c16:uniqueId val="{00000025-73E5-4933-BCE6-949CBF804AF5}"/>
                </c:ext>
              </c:extLst>
            </c:dLbl>
            <c:dLbl>
              <c:idx val="57"/>
              <c:delete val="1"/>
              <c:extLst>
                <c:ext xmlns:c15="http://schemas.microsoft.com/office/drawing/2012/chart" uri="{CE6537A1-D6FC-4f65-9D91-7224C49458BB}"/>
                <c:ext xmlns:c16="http://schemas.microsoft.com/office/drawing/2014/chart" uri="{C3380CC4-5D6E-409C-BE32-E72D297353CC}">
                  <c16:uniqueId val="{0000002A-8DD2-4D1D-9E86-7EB13A74ABE2}"/>
                </c:ext>
              </c:extLst>
            </c:dLbl>
            <c:dLbl>
              <c:idx val="58"/>
              <c:delete val="1"/>
              <c:extLst>
                <c:ext xmlns:c15="http://schemas.microsoft.com/office/drawing/2012/chart" uri="{CE6537A1-D6FC-4f65-9D91-7224C49458BB}"/>
                <c:ext xmlns:c16="http://schemas.microsoft.com/office/drawing/2014/chart" uri="{C3380CC4-5D6E-409C-BE32-E72D297353CC}">
                  <c16:uniqueId val="{0000002C-8DD2-4D1D-9E86-7EB13A74ABE2}"/>
                </c:ext>
              </c:extLst>
            </c:dLbl>
            <c:dLbl>
              <c:idx val="59"/>
              <c:delete val="1"/>
              <c:extLst>
                <c:ext xmlns:c15="http://schemas.microsoft.com/office/drawing/2012/chart" uri="{CE6537A1-D6FC-4f65-9D91-7224C49458BB}"/>
                <c:ext xmlns:c16="http://schemas.microsoft.com/office/drawing/2014/chart" uri="{C3380CC4-5D6E-409C-BE32-E72D297353CC}">
                  <c16:uniqueId val="{0000002B-8DD2-4D1D-9E86-7EB13A74ABE2}"/>
                </c:ext>
              </c:extLst>
            </c:dLbl>
            <c:dLbl>
              <c:idx val="60"/>
              <c:delete val="1"/>
              <c:extLst>
                <c:ext xmlns:c15="http://schemas.microsoft.com/office/drawing/2012/chart" uri="{CE6537A1-D6FC-4f65-9D91-7224C49458BB}"/>
                <c:ext xmlns:c16="http://schemas.microsoft.com/office/drawing/2014/chart" uri="{C3380CC4-5D6E-409C-BE32-E72D297353CC}">
                  <c16:uniqueId val="{00000048-D6C6-4F18-B779-AF08EBE1A9FC}"/>
                </c:ext>
              </c:extLst>
            </c:dLbl>
            <c:dLbl>
              <c:idx val="61"/>
              <c:delete val="1"/>
              <c:extLst>
                <c:ext xmlns:c15="http://schemas.microsoft.com/office/drawing/2012/chart" uri="{CE6537A1-D6FC-4f65-9D91-7224C49458BB}"/>
                <c:ext xmlns:c16="http://schemas.microsoft.com/office/drawing/2014/chart" uri="{C3380CC4-5D6E-409C-BE32-E72D297353CC}">
                  <c16:uniqueId val="{00000049-D6C6-4F18-B779-AF08EBE1A9FC}"/>
                </c:ext>
              </c:extLst>
            </c:dLbl>
            <c:dLbl>
              <c:idx val="62"/>
              <c:layout>
                <c:manualLayout>
                  <c:x val="-6.4516129032258063E-2"/>
                  <c:y val="4.74174819056708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D6C6-4F18-B779-AF08EBE1A9FC}"/>
                </c:ext>
              </c:extLst>
            </c:dLbl>
            <c:spPr>
              <a:noFill/>
              <a:ln>
                <a:noFill/>
              </a:ln>
              <a:effectLst/>
            </c:spPr>
            <c:txPr>
              <a:bodyPr wrap="square" lIns="38100" tIns="19050" rIns="38100" bIns="19050" anchor="ctr">
                <a:spAutoFit/>
              </a:bodyPr>
              <a:lstStyle/>
              <a:p>
                <a:pPr>
                  <a:defRPr sz="11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'1.2'!$A$102:$B$188</c15:sqref>
                  </c15:fullRef>
                </c:ext>
              </c:extLst>
              <c:f>'1.2'!$A$126:$B$188</c:f>
              <c:multiLvlStrCache>
                <c:ptCount val="63"/>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lvl>
                <c:lvl>
                  <c:pt idx="0">
                    <c:v>2021</c:v>
                  </c:pt>
                  <c:pt idx="12">
                    <c:v>2022</c:v>
                  </c:pt>
                  <c:pt idx="24">
                    <c:v>2023</c:v>
                  </c:pt>
                  <c:pt idx="36">
                    <c:v>2024</c:v>
                  </c:pt>
                  <c:pt idx="48">
                    <c:v>2025</c:v>
                  </c:pt>
                  <c:pt idx="60">
                    <c:v>2026</c:v>
                  </c:pt>
                </c:lvl>
              </c:multiLvlStrCache>
            </c:multiLvlStrRef>
          </c:cat>
          <c:val>
            <c:numRef>
              <c:extLst>
                <c:ext xmlns:c15="http://schemas.microsoft.com/office/drawing/2012/chart" uri="{02D57815-91ED-43cb-92C2-25804820EDAC}">
                  <c15:fullRef>
                    <c15:sqref>'1.2'!$H$102:$H$188</c15:sqref>
                  </c15:fullRef>
                </c:ext>
              </c:extLst>
              <c:f>'1.2'!$H$126:$H$188</c:f>
              <c:numCache>
                <c:formatCode>#,##0.00_);[Red]\(#,##0.00\)</c:formatCode>
                <c:ptCount val="63"/>
                <c:pt idx="0">
                  <c:v>15496.506440926045</c:v>
                </c:pt>
                <c:pt idx="1">
                  <c:v>15446.503215319455</c:v>
                </c:pt>
                <c:pt idx="2">
                  <c:v>15766.59038034253</c:v>
                </c:pt>
                <c:pt idx="3">
                  <c:v>16055.75071577161</c:v>
                </c:pt>
                <c:pt idx="4">
                  <c:v>16033.384375369817</c:v>
                </c:pt>
                <c:pt idx="5">
                  <c:v>15981.241190623452</c:v>
                </c:pt>
                <c:pt idx="6">
                  <c:v>15931.130488584331</c:v>
                </c:pt>
                <c:pt idx="7">
                  <c:v>15970.047438632686</c:v>
                </c:pt>
                <c:pt idx="8">
                  <c:v>15909.796968622159</c:v>
                </c:pt>
                <c:pt idx="9">
                  <c:v>15631.35110178684</c:v>
                </c:pt>
                <c:pt idx="10">
                  <c:v>15922.766146582075</c:v>
                </c:pt>
                <c:pt idx="11">
                  <c:v>15919.547815664679</c:v>
                </c:pt>
                <c:pt idx="12">
                  <c:v>15999.854662726546</c:v>
                </c:pt>
                <c:pt idx="13">
                  <c:v>16052.805600757249</c:v>
                </c:pt>
                <c:pt idx="14">
                  <c:v>16193.378445843611</c:v>
                </c:pt>
                <c:pt idx="15">
                  <c:v>16127.241499425341</c:v>
                </c:pt>
                <c:pt idx="16">
                  <c:v>16626.224718143239</c:v>
                </c:pt>
                <c:pt idx="17">
                  <c:v>16066.067195082389</c:v>
                </c:pt>
                <c:pt idx="18">
                  <c:v>16487.579866292588</c:v>
                </c:pt>
                <c:pt idx="19">
                  <c:v>16257.275402246913</c:v>
                </c:pt>
                <c:pt idx="20">
                  <c:v>16467.605500382586</c:v>
                </c:pt>
                <c:pt idx="21">
                  <c:v>16064.883741151834</c:v>
                </c:pt>
                <c:pt idx="22">
                  <c:v>15858.268723116971</c:v>
                </c:pt>
                <c:pt idx="23">
                  <c:v>16118.781705470577</c:v>
                </c:pt>
                <c:pt idx="24">
                  <c:v>16063.855116854626</c:v>
                </c:pt>
                <c:pt idx="25">
                  <c:v>16114.194978025105</c:v>
                </c:pt>
                <c:pt idx="26">
                  <c:v>15962.743349526067</c:v>
                </c:pt>
                <c:pt idx="27">
                  <c:v>15921.265083154314</c:v>
                </c:pt>
                <c:pt idx="28">
                  <c:v>16008.642449168816</c:v>
                </c:pt>
                <c:pt idx="29">
                  <c:v>16325.874924434978</c:v>
                </c:pt>
                <c:pt idx="30">
                  <c:v>16206.394504887248</c:v>
                </c:pt>
                <c:pt idx="31">
                  <c:v>16381.398608967223</c:v>
                </c:pt>
                <c:pt idx="32">
                  <c:v>16270.84500654459</c:v>
                </c:pt>
                <c:pt idx="33">
                  <c:v>16472.286341478106</c:v>
                </c:pt>
                <c:pt idx="34">
                  <c:v>16494.84960406987</c:v>
                </c:pt>
                <c:pt idx="35">
                  <c:v>16552.270305934671</c:v>
                </c:pt>
                <c:pt idx="36">
                  <c:v>16840.80812319187</c:v>
                </c:pt>
                <c:pt idx="37">
                  <c:v>16759.0183999937</c:v>
                </c:pt>
                <c:pt idx="38">
                  <c:v>16980.502234710621</c:v>
                </c:pt>
                <c:pt idx="39">
                  <c:v>16779.051796589727</c:v>
                </c:pt>
                <c:pt idx="40">
                  <c:v>16705.944593732442</c:v>
                </c:pt>
                <c:pt idx="41">
                  <c:v>16578.541026877407</c:v>
                </c:pt>
                <c:pt idx="42">
                  <c:v>16798.589225759424</c:v>
                </c:pt>
                <c:pt idx="43">
                  <c:v>16486.969000368088</c:v>
                </c:pt>
                <c:pt idx="44">
                  <c:v>16600.41772454483</c:v>
                </c:pt>
                <c:pt idx="45">
                  <c:v>16724.930165718091</c:v>
                </c:pt>
                <c:pt idx="46">
                  <c:v>16670.301900001217</c:v>
                </c:pt>
                <c:pt idx="47">
                  <c:v>17153.6141891765</c:v>
                </c:pt>
                <c:pt idx="48">
                  <c:v>17134.070461638996</c:v>
                </c:pt>
                <c:pt idx="49">
                  <c:v>17324.915706437936</c:v>
                </c:pt>
                <c:pt idx="50">
                  <c:v>17210.941245638784</c:v>
                </c:pt>
                <c:pt idx="51">
                  <c:v>17022.709411215848</c:v>
                </c:pt>
                <c:pt idx="52">
                  <c:v>17155.82267845692</c:v>
                </c:pt>
                <c:pt idx="53">
                  <c:v>16963.390193460677</c:v>
                </c:pt>
                <c:pt idx="54">
                  <c:v>17058.07508407571</c:v>
                </c:pt>
                <c:pt idx="55">
                  <c:v>17486.949027274626</c:v>
                </c:pt>
                <c:pt idx="56">
                  <c:v>17396.658204388223</c:v>
                </c:pt>
                <c:pt idx="57">
                  <c:v>17287.589516342487</c:v>
                </c:pt>
                <c:pt idx="58">
                  <c:v>17657.856061331076</c:v>
                </c:pt>
                <c:pt idx="59">
                  <c:v>17522.823590555079</c:v>
                </c:pt>
                <c:pt idx="60">
                  <c:v>17666.729046811364</c:v>
                </c:pt>
                <c:pt idx="61">
                  <c:v>17649.54768937176</c:v>
                </c:pt>
                <c:pt idx="62">
                  <c:v>17498.440966261685</c:v>
                </c:pt>
              </c:numCache>
            </c:numRef>
          </c:val>
          <c:smooth val="0"/>
          <c:extLst>
            <c:ext xmlns:c15="http://schemas.microsoft.com/office/drawing/2012/chart" uri="{02D57815-91ED-43cb-92C2-25804820EDAC}">
              <c15:categoryFilterExceptions>
                <c15:categoryFilterException>
                  <c15:sqref>'1.2'!$H$102</c15:sqref>
                  <c15:dLbl>
                    <c:idx val="-1"/>
                    <c:delete val="1"/>
                    <c:extLst>
                      <c:ext uri="{CE6537A1-D6FC-4f65-9D91-7224C49458BB}"/>
                      <c:ext xmlns:c16="http://schemas.microsoft.com/office/drawing/2014/chart" uri="{C3380CC4-5D6E-409C-BE32-E72D297353CC}">
                        <c16:uniqueId val="{00000030-783C-4189-AAC4-A4A3A906CE0B}"/>
                      </c:ext>
                    </c:extLst>
                  </c15:dLbl>
                </c15:categoryFilterException>
                <c15:categoryFilterException>
                  <c15:sqref>'1.2'!$H$103</c15:sqref>
                  <c15:dLbl>
                    <c:idx val="-1"/>
                    <c:delete val="1"/>
                    <c:extLst>
                      <c:ext uri="{CE6537A1-D6FC-4f65-9D91-7224C49458BB}"/>
                      <c:ext xmlns:c16="http://schemas.microsoft.com/office/drawing/2014/chart" uri="{C3380CC4-5D6E-409C-BE32-E72D297353CC}">
                        <c16:uniqueId val="{00000031-783C-4189-AAC4-A4A3A906CE0B}"/>
                      </c:ext>
                    </c:extLst>
                  </c15:dLbl>
                </c15:categoryFilterException>
                <c15:categoryFilterException>
                  <c15:sqref>'1.2'!$H$104</c15:sqref>
                  <c15:dLbl>
                    <c:idx val="-1"/>
                    <c:delete val="1"/>
                    <c:extLst>
                      <c:ext uri="{CE6537A1-D6FC-4f65-9D91-7224C49458BB}"/>
                      <c:ext xmlns:c16="http://schemas.microsoft.com/office/drawing/2014/chart" uri="{C3380CC4-5D6E-409C-BE32-E72D297353CC}">
                        <c16:uniqueId val="{00000032-783C-4189-AAC4-A4A3A906CE0B}"/>
                      </c:ext>
                    </c:extLst>
                  </c15:dLbl>
                </c15:categoryFilterException>
                <c15:categoryFilterException>
                  <c15:sqref>'1.2'!$H$105</c15:sqref>
                  <c15:dLbl>
                    <c:idx val="-1"/>
                    <c:delete val="1"/>
                    <c:extLst>
                      <c:ext uri="{CE6537A1-D6FC-4f65-9D91-7224C49458BB}"/>
                      <c:ext xmlns:c16="http://schemas.microsoft.com/office/drawing/2014/chart" uri="{C3380CC4-5D6E-409C-BE32-E72D297353CC}">
                        <c16:uniqueId val="{00000033-783C-4189-AAC4-A4A3A906CE0B}"/>
                      </c:ext>
                    </c:extLst>
                  </c15:dLbl>
                </c15:categoryFilterException>
                <c15:categoryFilterException>
                  <c15:sqref>'1.2'!$H$106</c15:sqref>
                  <c15:dLbl>
                    <c:idx val="-1"/>
                    <c:delete val="1"/>
                    <c:extLst>
                      <c:ext uri="{CE6537A1-D6FC-4f65-9D91-7224C49458BB}"/>
                      <c:ext xmlns:c16="http://schemas.microsoft.com/office/drawing/2014/chart" uri="{C3380CC4-5D6E-409C-BE32-E72D297353CC}">
                        <c16:uniqueId val="{00000034-783C-4189-AAC4-A4A3A906CE0B}"/>
                      </c:ext>
                    </c:extLst>
                  </c15:dLbl>
                </c15:categoryFilterException>
                <c15:categoryFilterException>
                  <c15:sqref>'1.2'!$H$107</c15:sqref>
                  <c15:dLbl>
                    <c:idx val="-1"/>
                    <c:delete val="1"/>
                    <c:extLst>
                      <c:ext uri="{CE6537A1-D6FC-4f65-9D91-7224C49458BB}"/>
                      <c:ext xmlns:c16="http://schemas.microsoft.com/office/drawing/2014/chart" uri="{C3380CC4-5D6E-409C-BE32-E72D297353CC}">
                        <c16:uniqueId val="{00000035-783C-4189-AAC4-A4A3A906CE0B}"/>
                      </c:ext>
                    </c:extLst>
                  </c15:dLbl>
                </c15:categoryFilterException>
                <c15:categoryFilterException>
                  <c15:sqref>'1.2'!$H$108</c15:sqref>
                  <c15:dLbl>
                    <c:idx val="-1"/>
                    <c:delete val="1"/>
                    <c:extLst>
                      <c:ext uri="{CE6537A1-D6FC-4f65-9D91-7224C49458BB}"/>
                      <c:ext xmlns:c16="http://schemas.microsoft.com/office/drawing/2014/chart" uri="{C3380CC4-5D6E-409C-BE32-E72D297353CC}">
                        <c16:uniqueId val="{00000036-783C-4189-AAC4-A4A3A906CE0B}"/>
                      </c:ext>
                    </c:extLst>
                  </c15:dLbl>
                </c15:categoryFilterException>
                <c15:categoryFilterException>
                  <c15:sqref>'1.2'!$H$109</c15:sqref>
                  <c15:dLbl>
                    <c:idx val="-1"/>
                    <c:delete val="1"/>
                    <c:extLst>
                      <c:ext uri="{CE6537A1-D6FC-4f65-9D91-7224C49458BB}"/>
                      <c:ext xmlns:c16="http://schemas.microsoft.com/office/drawing/2014/chart" uri="{C3380CC4-5D6E-409C-BE32-E72D297353CC}">
                        <c16:uniqueId val="{00000037-783C-4189-AAC4-A4A3A906CE0B}"/>
                      </c:ext>
                    </c:extLst>
                  </c15:dLbl>
                </c15:categoryFilterException>
                <c15:categoryFilterException>
                  <c15:sqref>'1.2'!$H$110</c15:sqref>
                  <c15:dLbl>
                    <c:idx val="-1"/>
                    <c:delete val="1"/>
                    <c:extLst>
                      <c:ext uri="{CE6537A1-D6FC-4f65-9D91-7224C49458BB}"/>
                      <c:ext xmlns:c16="http://schemas.microsoft.com/office/drawing/2014/chart" uri="{C3380CC4-5D6E-409C-BE32-E72D297353CC}">
                        <c16:uniqueId val="{00000038-783C-4189-AAC4-A4A3A906CE0B}"/>
                      </c:ext>
                    </c:extLst>
                  </c15:dLbl>
                </c15:categoryFilterException>
                <c15:categoryFilterException>
                  <c15:sqref>'1.2'!$H$111</c15:sqref>
                  <c15:dLbl>
                    <c:idx val="-1"/>
                    <c:delete val="1"/>
                    <c:extLst>
                      <c:ext uri="{CE6537A1-D6FC-4f65-9D91-7224C49458BB}"/>
                      <c:ext xmlns:c16="http://schemas.microsoft.com/office/drawing/2014/chart" uri="{C3380CC4-5D6E-409C-BE32-E72D297353CC}">
                        <c16:uniqueId val="{00000039-783C-4189-AAC4-A4A3A906CE0B}"/>
                      </c:ext>
                    </c:extLst>
                  </c15:dLbl>
                </c15:categoryFilterException>
                <c15:categoryFilterException>
                  <c15:sqref>'1.2'!$H$112</c15:sqref>
                  <c15:dLbl>
                    <c:idx val="-1"/>
                    <c:delete val="1"/>
                    <c:extLst>
                      <c:ext uri="{CE6537A1-D6FC-4f65-9D91-7224C49458BB}"/>
                      <c:ext xmlns:c16="http://schemas.microsoft.com/office/drawing/2014/chart" uri="{C3380CC4-5D6E-409C-BE32-E72D297353CC}">
                        <c16:uniqueId val="{0000003A-783C-4189-AAC4-A4A3A906CE0B}"/>
                      </c:ext>
                    </c:extLst>
                  </c15:dLbl>
                </c15:categoryFilterException>
                <c15:categoryFilterException>
                  <c15:sqref>'1.2'!$H$113</c15:sqref>
                  <c15:dLbl>
                    <c:idx val="-1"/>
                    <c:delete val="1"/>
                    <c:extLst>
                      <c:ext uri="{CE6537A1-D6FC-4f65-9D91-7224C49458BB}"/>
                      <c:ext xmlns:c16="http://schemas.microsoft.com/office/drawing/2014/chart" uri="{C3380CC4-5D6E-409C-BE32-E72D297353CC}">
                        <c16:uniqueId val="{0000003B-783C-4189-AAC4-A4A3A906CE0B}"/>
                      </c:ext>
                    </c:extLst>
                  </c15:dLbl>
                </c15:categoryFilterException>
                <c15:categoryFilterException>
                  <c15:sqref>'1.2'!$H$114</c15:sqref>
                  <c15:dLbl>
                    <c:idx val="-1"/>
                    <c:delete val="1"/>
                    <c:extLst>
                      <c:ext uri="{CE6537A1-D6FC-4f65-9D91-7224C49458BB}"/>
                      <c:ext xmlns:c16="http://schemas.microsoft.com/office/drawing/2014/chart" uri="{C3380CC4-5D6E-409C-BE32-E72D297353CC}">
                        <c16:uniqueId val="{0000003C-783C-4189-AAC4-A4A3A906CE0B}"/>
                      </c:ext>
                    </c:extLst>
                  </c15:dLbl>
                </c15:categoryFilterException>
                <c15:categoryFilterException>
                  <c15:sqref>'1.2'!$H$115</c15:sqref>
                  <c15:dLbl>
                    <c:idx val="-1"/>
                    <c:delete val="1"/>
                    <c:extLst>
                      <c:ext uri="{CE6537A1-D6FC-4f65-9D91-7224C49458BB}"/>
                      <c:ext xmlns:c16="http://schemas.microsoft.com/office/drawing/2014/chart" uri="{C3380CC4-5D6E-409C-BE32-E72D297353CC}">
                        <c16:uniqueId val="{0000003D-783C-4189-AAC4-A4A3A906CE0B}"/>
                      </c:ext>
                    </c:extLst>
                  </c15:dLbl>
                </c15:categoryFilterException>
                <c15:categoryFilterException>
                  <c15:sqref>'1.2'!$H$116</c15:sqref>
                  <c15:dLbl>
                    <c:idx val="-1"/>
                    <c:delete val="1"/>
                    <c:extLst>
                      <c:ext uri="{CE6537A1-D6FC-4f65-9D91-7224C49458BB}"/>
                      <c:ext xmlns:c16="http://schemas.microsoft.com/office/drawing/2014/chart" uri="{C3380CC4-5D6E-409C-BE32-E72D297353CC}">
                        <c16:uniqueId val="{0000003E-783C-4189-AAC4-A4A3A906CE0B}"/>
                      </c:ext>
                    </c:extLst>
                  </c15:dLbl>
                </c15:categoryFilterException>
                <c15:categoryFilterException>
                  <c15:sqref>'1.2'!$H$117</c15:sqref>
                  <c15:dLbl>
                    <c:idx val="-1"/>
                    <c:delete val="1"/>
                    <c:extLst>
                      <c:ext uri="{CE6537A1-D6FC-4f65-9D91-7224C49458BB}"/>
                      <c:ext xmlns:c16="http://schemas.microsoft.com/office/drawing/2014/chart" uri="{C3380CC4-5D6E-409C-BE32-E72D297353CC}">
                        <c16:uniqueId val="{0000003F-783C-4189-AAC4-A4A3A906CE0B}"/>
                      </c:ext>
                    </c:extLst>
                  </c15:dLbl>
                </c15:categoryFilterException>
                <c15:categoryFilterException>
                  <c15:sqref>'1.2'!$H$118</c15:sqref>
                  <c15:dLbl>
                    <c:idx val="-1"/>
                    <c:delete val="1"/>
                    <c:extLst>
                      <c:ext uri="{CE6537A1-D6FC-4f65-9D91-7224C49458BB}"/>
                      <c:ext xmlns:c16="http://schemas.microsoft.com/office/drawing/2014/chart" uri="{C3380CC4-5D6E-409C-BE32-E72D297353CC}">
                        <c16:uniqueId val="{00000040-783C-4189-AAC4-A4A3A906CE0B}"/>
                      </c:ext>
                    </c:extLst>
                  </c15:dLbl>
                </c15:categoryFilterException>
                <c15:categoryFilterException>
                  <c15:sqref>'1.2'!$H$119</c15:sqref>
                  <c15:dLbl>
                    <c:idx val="-1"/>
                    <c:delete val="1"/>
                    <c:extLst>
                      <c:ext uri="{CE6537A1-D6FC-4f65-9D91-7224C49458BB}"/>
                      <c:ext xmlns:c16="http://schemas.microsoft.com/office/drawing/2014/chart" uri="{C3380CC4-5D6E-409C-BE32-E72D297353CC}">
                        <c16:uniqueId val="{00000041-783C-4189-AAC4-A4A3A906CE0B}"/>
                      </c:ext>
                    </c:extLst>
                  </c15:dLbl>
                </c15:categoryFilterException>
                <c15:categoryFilterException>
                  <c15:sqref>'1.2'!$H$120</c15:sqref>
                  <c15:dLbl>
                    <c:idx val="-1"/>
                    <c:delete val="1"/>
                    <c:extLst>
                      <c:ext uri="{CE6537A1-D6FC-4f65-9D91-7224C49458BB}"/>
                      <c:ext xmlns:c16="http://schemas.microsoft.com/office/drawing/2014/chart" uri="{C3380CC4-5D6E-409C-BE32-E72D297353CC}">
                        <c16:uniqueId val="{00000042-783C-4189-AAC4-A4A3A906CE0B}"/>
                      </c:ext>
                    </c:extLst>
                  </c15:dLbl>
                </c15:categoryFilterException>
                <c15:categoryFilterException>
                  <c15:sqref>'1.2'!$H$121</c15:sqref>
                  <c15:dLbl>
                    <c:idx val="-1"/>
                    <c:delete val="1"/>
                    <c:extLst>
                      <c:ext uri="{CE6537A1-D6FC-4f65-9D91-7224C49458BB}"/>
                      <c:ext xmlns:c16="http://schemas.microsoft.com/office/drawing/2014/chart" uri="{C3380CC4-5D6E-409C-BE32-E72D297353CC}">
                        <c16:uniqueId val="{00000043-783C-4189-AAC4-A4A3A906CE0B}"/>
                      </c:ext>
                    </c:extLst>
                  </c15:dLbl>
                </c15:categoryFilterException>
                <c15:categoryFilterException>
                  <c15:sqref>'1.2'!$H$122</c15:sqref>
                  <c15:dLbl>
                    <c:idx val="-1"/>
                    <c:delete val="1"/>
                    <c:extLst>
                      <c:ext uri="{CE6537A1-D6FC-4f65-9D91-7224C49458BB}"/>
                      <c:ext xmlns:c16="http://schemas.microsoft.com/office/drawing/2014/chart" uri="{C3380CC4-5D6E-409C-BE32-E72D297353CC}">
                        <c16:uniqueId val="{00000044-783C-4189-AAC4-A4A3A906CE0B}"/>
                      </c:ext>
                    </c:extLst>
                  </c15:dLbl>
                </c15:categoryFilterException>
                <c15:categoryFilterException>
                  <c15:sqref>'1.2'!$H$123</c15:sqref>
                  <c15:dLbl>
                    <c:idx val="-1"/>
                    <c:delete val="1"/>
                    <c:extLst>
                      <c:ext uri="{CE6537A1-D6FC-4f65-9D91-7224C49458BB}"/>
                      <c:ext xmlns:c16="http://schemas.microsoft.com/office/drawing/2014/chart" uri="{C3380CC4-5D6E-409C-BE32-E72D297353CC}">
                        <c16:uniqueId val="{00000045-783C-4189-AAC4-A4A3A906CE0B}"/>
                      </c:ext>
                    </c:extLst>
                  </c15:dLbl>
                </c15:categoryFilterException>
                <c15:categoryFilterException>
                  <c15:sqref>'1.2'!$H$124</c15:sqref>
                  <c15:dLbl>
                    <c:idx val="-1"/>
                    <c:delete val="1"/>
                    <c:extLst>
                      <c:ext uri="{CE6537A1-D6FC-4f65-9D91-7224C49458BB}"/>
                      <c:ext xmlns:c16="http://schemas.microsoft.com/office/drawing/2014/chart" uri="{C3380CC4-5D6E-409C-BE32-E72D297353CC}">
                        <c16:uniqueId val="{00000046-783C-4189-AAC4-A4A3A906CE0B}"/>
                      </c:ext>
                    </c:extLst>
                  </c15:dLbl>
                </c15:categoryFilterException>
                <c15:categoryFilterException>
                  <c15:sqref>'1.2'!$H$125</c15:sqref>
                  <c15:dLbl>
                    <c:idx val="-1"/>
                    <c:delete val="1"/>
                    <c:extLst>
                      <c:ext uri="{CE6537A1-D6FC-4f65-9D91-7224C49458BB}"/>
                      <c:ext xmlns:c16="http://schemas.microsoft.com/office/drawing/2014/chart" uri="{C3380CC4-5D6E-409C-BE32-E72D297353CC}">
                        <c16:uniqueId val="{00000047-783C-4189-AAC4-A4A3A906CE0B}"/>
                      </c:ext>
                    </c:extLst>
                  </c15:dLbl>
                </c15:categoryFilterException>
              </c15:categoryFilterExceptions>
            </c:ext>
            <c:ext xmlns:c16="http://schemas.microsoft.com/office/drawing/2014/chart" uri="{C3380CC4-5D6E-409C-BE32-E72D297353CC}">
              <c16:uniqueId val="{0000000A-1DEA-4E31-8FF0-AAEE9D765F0D}"/>
            </c:ext>
          </c:extLst>
        </c:ser>
        <c:dLbls>
          <c:showLegendKey val="0"/>
          <c:showVal val="0"/>
          <c:showCatName val="0"/>
          <c:showSerName val="0"/>
          <c:showPercent val="0"/>
          <c:showBubbleSize val="0"/>
        </c:dLbls>
        <c:smooth val="0"/>
        <c:axId val="486522616"/>
        <c:axId val="486522224"/>
      </c:lineChart>
      <c:catAx>
        <c:axId val="486522616"/>
        <c:scaling>
          <c:orientation val="minMax"/>
        </c:scaling>
        <c:delete val="0"/>
        <c:axPos val="b"/>
        <c:numFmt formatCode="m\/d\/yyyy" sourceLinked="0"/>
        <c:majorTickMark val="none"/>
        <c:minorTickMark val="none"/>
        <c:tickLblPos val="nextTo"/>
        <c:txPr>
          <a:bodyPr rot="-5400000" vert="horz"/>
          <a:lstStyle/>
          <a:p>
            <a:pPr>
              <a:defRPr sz="1050" b="0">
                <a:latin typeface="Geomanist" panose="02000503000000020004" pitchFamily="50" charset="0"/>
              </a:defRPr>
            </a:pPr>
            <a:endParaRPr lang="en-US"/>
          </a:p>
        </c:txPr>
        <c:crossAx val="486522224"/>
        <c:crosses val="autoZero"/>
        <c:auto val="1"/>
        <c:lblAlgn val="ctr"/>
        <c:lblOffset val="100"/>
        <c:tickLblSkip val="1"/>
        <c:tickMarkSkip val="1"/>
        <c:noMultiLvlLbl val="0"/>
      </c:catAx>
      <c:valAx>
        <c:axId val="486522224"/>
        <c:scaling>
          <c:orientation val="minMax"/>
          <c:max val="18000"/>
        </c:scaling>
        <c:delete val="0"/>
        <c:axPos val="l"/>
        <c:majorGridlines>
          <c:spPr>
            <a:ln>
              <a:solidFill>
                <a:schemeClr val="bg1">
                  <a:lumMod val="85000"/>
                </a:schemeClr>
              </a:solidFill>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2.2673932620592512E-2"/>
              <c:y val="0.3378947480049842"/>
            </c:manualLayout>
          </c:layout>
          <c:overlay val="0"/>
        </c:title>
        <c:numFmt formatCode="#,##0_);[Red]\(#,##0\)" sourceLinked="0"/>
        <c:majorTickMark val="none"/>
        <c:minorTickMark val="none"/>
        <c:tickLblPos val="nextTo"/>
        <c:spPr>
          <a:ln w="9525">
            <a:solidFill>
              <a:schemeClr val="bg1">
                <a:lumMod val="50000"/>
              </a:schemeClr>
            </a:solidFill>
          </a:ln>
        </c:spPr>
        <c:txPr>
          <a:bodyPr/>
          <a:lstStyle/>
          <a:p>
            <a:pPr>
              <a:defRPr sz="1100" b="0">
                <a:latin typeface="Geomanist" panose="02000503000000020004" pitchFamily="50" charset="0"/>
              </a:defRPr>
            </a:pPr>
            <a:endParaRPr lang="en-US"/>
          </a:p>
        </c:txPr>
        <c:crossAx val="486522616"/>
        <c:crosses val="autoZero"/>
        <c:crossBetween val="between"/>
      </c:valAx>
      <c:spPr>
        <a:noFill/>
        <a:ln w="25400">
          <a:noFill/>
        </a:ln>
      </c:spPr>
    </c:plotArea>
    <c:legend>
      <c:legendPos val="b"/>
      <c:legendEntry>
        <c:idx val="0"/>
        <c:txPr>
          <a:bodyPr/>
          <a:lstStyle/>
          <a:p>
            <a:pPr>
              <a:defRPr sz="1200" b="1">
                <a:latin typeface="Heuristica" panose="02020603050705020204" pitchFamily="18" charset="0"/>
              </a:defRPr>
            </a:pPr>
            <a:endParaRPr lang="en-US"/>
          </a:p>
        </c:txPr>
      </c:legendEntry>
      <c:layout>
        <c:manualLayout>
          <c:xMode val="edge"/>
          <c:yMode val="edge"/>
          <c:x val="0.13908390483447633"/>
          <c:y val="0.92076279858957022"/>
          <c:w val="0.72464035837162588"/>
          <c:h val="5.5166255733184864E-2"/>
        </c:manualLayout>
      </c:layout>
      <c:overlay val="0"/>
      <c:txPr>
        <a:bodyPr/>
        <a:lstStyle/>
        <a:p>
          <a:pPr>
            <a:defRPr sz="1200" b="1">
              <a:latin typeface="Heuristica" panose="02020603050705020204" pitchFamily="18" charset="0"/>
            </a:defRPr>
          </a:pPr>
          <a:endParaRPr lang="en-US"/>
        </a:p>
      </c:txPr>
    </c:legend>
    <c:plotVisOnly val="1"/>
    <c:dispBlanksAs val="gap"/>
    <c:showDLblsOverMax val="0"/>
  </c:char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Finance &amp; Insurance</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'!$C$8:$C$75</c:f>
              <c:numCache>
                <c:formatCode>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0-9739-45B4-8CAD-8F9A7EC31DEF}"/>
            </c:ext>
          </c:extLst>
        </c:ser>
        <c:ser>
          <c:idx val="1"/>
          <c:order val="1"/>
          <c:tx>
            <c:strRef>
              <c:f>'5.2 '!$J$7</c:f>
              <c:strCache>
                <c:ptCount val="1"/>
                <c:pt idx="0">
                  <c:v>Finance &amp; Insurance</c:v>
                </c:pt>
              </c:strCache>
            </c:strRef>
          </c:tx>
          <c:spPr>
            <a:ln w="28575" cap="rnd">
              <a:solidFill>
                <a:srgbClr val="D4C029"/>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'!$J$8:$J$75</c:f>
              <c:numCache>
                <c:formatCode>0.0</c:formatCode>
                <c:ptCount val="68"/>
                <c:pt idx="0">
                  <c:v>50.3904071388734</c:v>
                </c:pt>
                <c:pt idx="1">
                  <c:v>45.401629802095457</c:v>
                </c:pt>
                <c:pt idx="2">
                  <c:v>76.270857586340696</c:v>
                </c:pt>
                <c:pt idx="3">
                  <c:v>68.160651920838177</c:v>
                </c:pt>
                <c:pt idx="4">
                  <c:v>55.180442374854493</c:v>
                </c:pt>
                <c:pt idx="5">
                  <c:v>67.503059975520188</c:v>
                </c:pt>
                <c:pt idx="6">
                  <c:v>55.242758057935553</c:v>
                </c:pt>
                <c:pt idx="7">
                  <c:v>81.02444703143189</c:v>
                </c:pt>
                <c:pt idx="8">
                  <c:v>57.397827211588208</c:v>
                </c:pt>
                <c:pt idx="9">
                  <c:v>72.031823745410037</c:v>
                </c:pt>
                <c:pt idx="10">
                  <c:v>47.735618115055082</c:v>
                </c:pt>
                <c:pt idx="11">
                  <c:v>46.797225622195008</c:v>
                </c:pt>
                <c:pt idx="12">
                  <c:v>49.210360075805433</c:v>
                </c:pt>
                <c:pt idx="13">
                  <c:v>15.283230510375761</c:v>
                </c:pt>
                <c:pt idx="14">
                  <c:v>13.19620253164555</c:v>
                </c:pt>
                <c:pt idx="15">
                  <c:v>46.550632911392412</c:v>
                </c:pt>
                <c:pt idx="16">
                  <c:v>69.515011547344116</c:v>
                </c:pt>
                <c:pt idx="17">
                  <c:v>73.22064056939503</c:v>
                </c:pt>
                <c:pt idx="18">
                  <c:v>51.40124555160142</c:v>
                </c:pt>
                <c:pt idx="19">
                  <c:v>82.33985765124558</c:v>
                </c:pt>
                <c:pt idx="20">
                  <c:v>45.656803161988982</c:v>
                </c:pt>
                <c:pt idx="21">
                  <c:v>49.466192170818509</c:v>
                </c:pt>
                <c:pt idx="22">
                  <c:v>55.204626334519567</c:v>
                </c:pt>
                <c:pt idx="23">
                  <c:v>82.725947521865891</c:v>
                </c:pt>
                <c:pt idx="24">
                  <c:v>71.255168983714441</c:v>
                </c:pt>
                <c:pt idx="25">
                  <c:v>69.105871886120994</c:v>
                </c:pt>
                <c:pt idx="26">
                  <c:v>51.8546845124283</c:v>
                </c:pt>
                <c:pt idx="27">
                  <c:v>56.202290076335878</c:v>
                </c:pt>
                <c:pt idx="28">
                  <c:v>48.740458015267173</c:v>
                </c:pt>
                <c:pt idx="29">
                  <c:v>59.612432847275507</c:v>
                </c:pt>
                <c:pt idx="30">
                  <c:v>47.122026093630083</c:v>
                </c:pt>
                <c:pt idx="31">
                  <c:v>55.506523407521108</c:v>
                </c:pt>
                <c:pt idx="32">
                  <c:v>53.568687643898699</c:v>
                </c:pt>
                <c:pt idx="33">
                  <c:v>51.132003069838831</c:v>
                </c:pt>
                <c:pt idx="34">
                  <c:v>53.627584483330857</c:v>
                </c:pt>
                <c:pt idx="35">
                  <c:v>85.897927858787412</c:v>
                </c:pt>
                <c:pt idx="36">
                  <c:v>70.52954719877205</c:v>
                </c:pt>
                <c:pt idx="37">
                  <c:v>50</c:v>
                </c:pt>
                <c:pt idx="38">
                  <c:v>49.24327403754841</c:v>
                </c:pt>
                <c:pt idx="39">
                  <c:v>67.037605525709893</c:v>
                </c:pt>
                <c:pt idx="40">
                  <c:v>30.364058869093711</c:v>
                </c:pt>
                <c:pt idx="41">
                  <c:v>57.408109132247063</c:v>
                </c:pt>
                <c:pt idx="42">
                  <c:v>50.871542250852599</c:v>
                </c:pt>
                <c:pt idx="43">
                  <c:v>55.229253505115572</c:v>
                </c:pt>
                <c:pt idx="44">
                  <c:v>61.025029797377833</c:v>
                </c:pt>
                <c:pt idx="45">
                  <c:v>50.871542250852599</c:v>
                </c:pt>
                <c:pt idx="46">
                  <c:v>51.345206517620312</c:v>
                </c:pt>
                <c:pt idx="47">
                  <c:v>54.098031337886702</c:v>
                </c:pt>
                <c:pt idx="48">
                  <c:v>44.495765973826018</c:v>
                </c:pt>
                <c:pt idx="49">
                  <c:v>71.112896745681013</c:v>
                </c:pt>
                <c:pt idx="50">
                  <c:v>65.709120128565701</c:v>
                </c:pt>
                <c:pt idx="51">
                  <c:v>55.020491803278681</c:v>
                </c:pt>
                <c:pt idx="52">
                  <c:v>43.491361992768176</c:v>
                </c:pt>
                <c:pt idx="53">
                  <c:v>54.026416702172988</c:v>
                </c:pt>
                <c:pt idx="54">
                  <c:v>52.375296912114017</c:v>
                </c:pt>
                <c:pt idx="55">
                  <c:v>55.42801556420234</c:v>
                </c:pt>
                <c:pt idx="56">
                  <c:v>58.034714445688678</c:v>
                </c:pt>
                <c:pt idx="57">
                  <c:v>57.629326386304427</c:v>
                </c:pt>
                <c:pt idx="58">
                  <c:v>56.574492099322811</c:v>
                </c:pt>
                <c:pt idx="59">
                  <c:v>55.070842654735273</c:v>
                </c:pt>
                <c:pt idx="60">
                  <c:v>49.7191011235955</c:v>
                </c:pt>
                <c:pt idx="61">
                  <c:v>52.912979351032448</c:v>
                </c:pt>
                <c:pt idx="62">
                  <c:v>54.931658662726257</c:v>
                </c:pt>
                <c:pt idx="63">
                  <c:v>54.910242872228089</c:v>
                </c:pt>
                <c:pt idx="64">
                  <c:v>45.889660211910837</c:v>
                </c:pt>
                <c:pt idx="65">
                  <c:v>50.150715900527508</c:v>
                </c:pt>
                <c:pt idx="66">
                  <c:v>50.304709141274238</c:v>
                </c:pt>
                <c:pt idx="67">
                  <c:v>52.046130952380956</c:v>
                </c:pt>
              </c:numCache>
            </c:numRef>
          </c:val>
          <c:smooth val="0"/>
          <c:extLst>
            <c:ext xmlns:c16="http://schemas.microsoft.com/office/drawing/2014/chart" uri="{C3380CC4-5D6E-409C-BE32-E72D297353CC}">
              <c16:uniqueId val="{00000001-9739-45B4-8CAD-8F9A7EC31DEF}"/>
            </c:ext>
          </c:extLst>
        </c:ser>
        <c:dLbls>
          <c:showLegendKey val="0"/>
          <c:showVal val="0"/>
          <c:showCatName val="0"/>
          <c:showSerName val="0"/>
          <c:showPercent val="0"/>
          <c:showBubbleSize val="0"/>
        </c:dLbls>
        <c:smooth val="0"/>
        <c:axId val="1386755391"/>
        <c:axId val="1386762463"/>
      </c:lineChart>
      <c:catAx>
        <c:axId val="1386755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62463"/>
        <c:crosses val="autoZero"/>
        <c:auto val="1"/>
        <c:lblAlgn val="ctr"/>
        <c:lblOffset val="100"/>
        <c:noMultiLvlLbl val="0"/>
      </c:catAx>
      <c:valAx>
        <c:axId val="1386762463"/>
        <c:scaling>
          <c:orientation val="minMax"/>
          <c:max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53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Real estate &amp; ownership of dwellings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'!$C$8:$C$75</c:f>
              <c:numCache>
                <c:formatCode>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0-DBF1-4D84-B216-ADEE1BBA4C40}"/>
            </c:ext>
          </c:extLst>
        </c:ser>
        <c:ser>
          <c:idx val="1"/>
          <c:order val="1"/>
          <c:tx>
            <c:strRef>
              <c:f>'5.2 '!$K$7</c:f>
              <c:strCache>
                <c:ptCount val="1"/>
                <c:pt idx="0">
                  <c:v>Real estate &amp; Ownership of Dwellings</c:v>
                </c:pt>
              </c:strCache>
            </c:strRef>
          </c:tx>
          <c:spPr>
            <a:ln w="28575" cap="rnd">
              <a:solidFill>
                <a:srgbClr val="D4C029"/>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'!$K$8:$K$75</c:f>
              <c:numCache>
                <c:formatCode>0.0</c:formatCode>
                <c:ptCount val="68"/>
                <c:pt idx="0">
                  <c:v>77.344992050874382</c:v>
                </c:pt>
                <c:pt idx="1">
                  <c:v>56.072555205047323</c:v>
                </c:pt>
                <c:pt idx="2">
                  <c:v>50</c:v>
                </c:pt>
                <c:pt idx="3">
                  <c:v>49.524564183835182</c:v>
                </c:pt>
                <c:pt idx="4">
                  <c:v>48.694942903752043</c:v>
                </c:pt>
                <c:pt idx="5">
                  <c:v>46.147672552166938</c:v>
                </c:pt>
                <c:pt idx="6">
                  <c:v>55.489021956087832</c:v>
                </c:pt>
                <c:pt idx="7">
                  <c:v>45.826645264847507</c:v>
                </c:pt>
                <c:pt idx="8">
                  <c:v>50.57755775577558</c:v>
                </c:pt>
                <c:pt idx="9">
                  <c:v>53.104575163398692</c:v>
                </c:pt>
                <c:pt idx="10">
                  <c:v>49.755301794453509</c:v>
                </c:pt>
                <c:pt idx="11">
                  <c:v>50.159489633173841</c:v>
                </c:pt>
                <c:pt idx="12">
                  <c:v>16.721581548599691</c:v>
                </c:pt>
                <c:pt idx="13">
                  <c:v>38.016528925619838</c:v>
                </c:pt>
                <c:pt idx="14">
                  <c:v>41.20781527531085</c:v>
                </c:pt>
                <c:pt idx="15">
                  <c:v>53.065134099616778</c:v>
                </c:pt>
                <c:pt idx="16">
                  <c:v>52.491408934707913</c:v>
                </c:pt>
                <c:pt idx="17">
                  <c:v>52.845528455284558</c:v>
                </c:pt>
                <c:pt idx="18">
                  <c:v>30.339805825242731</c:v>
                </c:pt>
                <c:pt idx="19">
                  <c:v>48.983050847457633</c:v>
                </c:pt>
                <c:pt idx="20">
                  <c:v>51.779964269582052</c:v>
                </c:pt>
                <c:pt idx="21">
                  <c:v>49.004975124378113</c:v>
                </c:pt>
                <c:pt idx="22">
                  <c:v>50.718685831622167</c:v>
                </c:pt>
                <c:pt idx="23">
                  <c:v>49.895397489539747</c:v>
                </c:pt>
                <c:pt idx="24">
                  <c:v>47.625367129623342</c:v>
                </c:pt>
                <c:pt idx="25">
                  <c:v>53.108808290155437</c:v>
                </c:pt>
                <c:pt idx="26">
                  <c:v>56.39412997903564</c:v>
                </c:pt>
                <c:pt idx="27">
                  <c:v>49.823008849557517</c:v>
                </c:pt>
                <c:pt idx="28">
                  <c:v>49.21602787456446</c:v>
                </c:pt>
                <c:pt idx="29">
                  <c:v>51.883561643835613</c:v>
                </c:pt>
                <c:pt idx="30">
                  <c:v>52.256944444444443</c:v>
                </c:pt>
                <c:pt idx="31">
                  <c:v>49.897540983606561</c:v>
                </c:pt>
                <c:pt idx="32">
                  <c:v>48.787313432835823</c:v>
                </c:pt>
                <c:pt idx="33">
                  <c:v>52.742230347349171</c:v>
                </c:pt>
                <c:pt idx="34">
                  <c:v>47.874726136079062</c:v>
                </c:pt>
                <c:pt idx="35">
                  <c:v>49.240986717267553</c:v>
                </c:pt>
                <c:pt idx="36">
                  <c:v>52.595155709342563</c:v>
                </c:pt>
                <c:pt idx="37">
                  <c:v>47.451669595782072</c:v>
                </c:pt>
                <c:pt idx="38">
                  <c:v>62.444322465114638</c:v>
                </c:pt>
                <c:pt idx="39">
                  <c:v>52.048417132216017</c:v>
                </c:pt>
                <c:pt idx="40">
                  <c:v>58.630393996247641</c:v>
                </c:pt>
                <c:pt idx="41">
                  <c:v>43.039772727272727</c:v>
                </c:pt>
                <c:pt idx="42">
                  <c:v>44.822006472491907</c:v>
                </c:pt>
                <c:pt idx="43">
                  <c:v>45.967741935483872</c:v>
                </c:pt>
                <c:pt idx="44">
                  <c:v>56.089743589743577</c:v>
                </c:pt>
                <c:pt idx="45">
                  <c:v>46.540880503144663</c:v>
                </c:pt>
                <c:pt idx="46">
                  <c:v>48.606811145510839</c:v>
                </c:pt>
                <c:pt idx="47">
                  <c:v>48.101265822784811</c:v>
                </c:pt>
                <c:pt idx="48">
                  <c:v>51.371951219512191</c:v>
                </c:pt>
                <c:pt idx="49">
                  <c:v>50.417827298050142</c:v>
                </c:pt>
                <c:pt idx="50">
                  <c:v>50.977653631284923</c:v>
                </c:pt>
                <c:pt idx="51">
                  <c:v>47.164179104477611</c:v>
                </c:pt>
                <c:pt idx="52">
                  <c:v>51.067615658362989</c:v>
                </c:pt>
                <c:pt idx="53">
                  <c:v>43.650793650793652</c:v>
                </c:pt>
                <c:pt idx="54">
                  <c:v>49.702380952380949</c:v>
                </c:pt>
                <c:pt idx="55">
                  <c:v>49.696048632218847</c:v>
                </c:pt>
                <c:pt idx="56">
                  <c:v>47.54601226993865</c:v>
                </c:pt>
                <c:pt idx="57">
                  <c:v>85.509554140127392</c:v>
                </c:pt>
                <c:pt idx="58">
                  <c:v>70.727848101265835</c:v>
                </c:pt>
                <c:pt idx="59">
                  <c:v>44.254658385093173</c:v>
                </c:pt>
                <c:pt idx="60">
                  <c:v>47.345132743362839</c:v>
                </c:pt>
                <c:pt idx="61">
                  <c:v>50</c:v>
                </c:pt>
                <c:pt idx="62">
                  <c:v>59.38461538461538</c:v>
                </c:pt>
                <c:pt idx="63">
                  <c:v>52.699530516431928</c:v>
                </c:pt>
                <c:pt idx="64">
                  <c:v>38.485804416403788</c:v>
                </c:pt>
                <c:pt idx="65">
                  <c:v>47.080291970802918</c:v>
                </c:pt>
                <c:pt idx="66">
                  <c:v>45.860927152317878</c:v>
                </c:pt>
                <c:pt idx="67">
                  <c:v>53.957783641160951</c:v>
                </c:pt>
              </c:numCache>
            </c:numRef>
          </c:val>
          <c:smooth val="0"/>
          <c:extLst>
            <c:ext xmlns:c16="http://schemas.microsoft.com/office/drawing/2014/chart" uri="{C3380CC4-5D6E-409C-BE32-E72D297353CC}">
              <c16:uniqueId val="{00000001-DBF1-4D84-B216-ADEE1BBA4C40}"/>
            </c:ext>
          </c:extLst>
        </c:ser>
        <c:dLbls>
          <c:showLegendKey val="0"/>
          <c:showVal val="0"/>
          <c:showCatName val="0"/>
          <c:showSerName val="0"/>
          <c:showPercent val="0"/>
          <c:showBubbleSize val="0"/>
        </c:dLbls>
        <c:smooth val="0"/>
        <c:axId val="1442793391"/>
        <c:axId val="1375563487"/>
      </c:lineChart>
      <c:catAx>
        <c:axId val="1442793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3487"/>
        <c:crosses val="autoZero"/>
        <c:auto val="1"/>
        <c:lblAlgn val="ctr"/>
        <c:lblOffset val="100"/>
        <c:noMultiLvlLbl val="0"/>
      </c:catAx>
      <c:valAx>
        <c:axId val="1375563487"/>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33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Hotels &amp; Restaurants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635246091637808E-2"/>
          <c:y val="0.15835707502374169"/>
          <c:w val="0.88351940919463079"/>
          <c:h val="0.63247040701108947"/>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'!$C$8:$C$75</c:f>
              <c:numCache>
                <c:formatCode>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0-7F01-4B1E-A8F5-0D998C194F37}"/>
            </c:ext>
          </c:extLst>
        </c:ser>
        <c:ser>
          <c:idx val="1"/>
          <c:order val="1"/>
          <c:tx>
            <c:strRef>
              <c:f>'5.2 '!$L$7</c:f>
              <c:strCache>
                <c:ptCount val="1"/>
                <c:pt idx="0">
                  <c:v>Hotels &amp; Restaurants</c:v>
                </c:pt>
              </c:strCache>
            </c:strRef>
          </c:tx>
          <c:spPr>
            <a:ln w="28575" cap="rnd">
              <a:solidFill>
                <a:srgbClr val="D4C029"/>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'!$L$8:$L$75</c:f>
              <c:numCache>
                <c:formatCode>0.0</c:formatCode>
                <c:ptCount val="68"/>
                <c:pt idx="0">
                  <c:v>35.468699318845282</c:v>
                </c:pt>
                <c:pt idx="1">
                  <c:v>61.657117672983667</c:v>
                </c:pt>
                <c:pt idx="2">
                  <c:v>70.436090225563902</c:v>
                </c:pt>
                <c:pt idx="3">
                  <c:v>61.880316808448242</c:v>
                </c:pt>
                <c:pt idx="4">
                  <c:v>86.88063063063062</c:v>
                </c:pt>
                <c:pt idx="5">
                  <c:v>27.080764488286061</c:v>
                </c:pt>
                <c:pt idx="6">
                  <c:v>49.187279151943478</c:v>
                </c:pt>
                <c:pt idx="7">
                  <c:v>73.658872077028889</c:v>
                </c:pt>
                <c:pt idx="8">
                  <c:v>16.254253015774811</c:v>
                </c:pt>
                <c:pt idx="9">
                  <c:v>89.608208955223887</c:v>
                </c:pt>
                <c:pt idx="10">
                  <c:v>40.784479122733032</c:v>
                </c:pt>
                <c:pt idx="11">
                  <c:v>52.694859038142617</c:v>
                </c:pt>
                <c:pt idx="12">
                  <c:v>13.82154882154882</c:v>
                </c:pt>
                <c:pt idx="13">
                  <c:v>12.64805414551607</c:v>
                </c:pt>
                <c:pt idx="14">
                  <c:v>36.141678129298498</c:v>
                </c:pt>
                <c:pt idx="15">
                  <c:v>60.761957730812021</c:v>
                </c:pt>
                <c:pt idx="16">
                  <c:v>76.966292134831463</c:v>
                </c:pt>
                <c:pt idx="17">
                  <c:v>69.752475247524757</c:v>
                </c:pt>
                <c:pt idx="18">
                  <c:v>37.08827404479581</c:v>
                </c:pt>
                <c:pt idx="19">
                  <c:v>15.62079181255049</c:v>
                </c:pt>
                <c:pt idx="20">
                  <c:v>43.946318034199209</c:v>
                </c:pt>
                <c:pt idx="21">
                  <c:v>65.364238410596002</c:v>
                </c:pt>
                <c:pt idx="22">
                  <c:v>55.494687915006672</c:v>
                </c:pt>
                <c:pt idx="23">
                  <c:v>66.5695364238411</c:v>
                </c:pt>
                <c:pt idx="24">
                  <c:v>57.215606945112199</c:v>
                </c:pt>
                <c:pt idx="25">
                  <c:v>49.213735558408267</c:v>
                </c:pt>
                <c:pt idx="26">
                  <c:v>45.051428941027353</c:v>
                </c:pt>
                <c:pt idx="27">
                  <c:v>48.612424209464741</c:v>
                </c:pt>
                <c:pt idx="28">
                  <c:v>62.101368573031991</c:v>
                </c:pt>
                <c:pt idx="29">
                  <c:v>59.912812100069672</c:v>
                </c:pt>
                <c:pt idx="30">
                  <c:v>31.788619166276419</c:v>
                </c:pt>
                <c:pt idx="31">
                  <c:v>56.673451659635482</c:v>
                </c:pt>
                <c:pt idx="32">
                  <c:v>44.531556252450017</c:v>
                </c:pt>
                <c:pt idx="33">
                  <c:v>80.666911457546703</c:v>
                </c:pt>
                <c:pt idx="34">
                  <c:v>46.075158183585529</c:v>
                </c:pt>
                <c:pt idx="35">
                  <c:v>75.937616041589322</c:v>
                </c:pt>
                <c:pt idx="36">
                  <c:v>49.522560747970893</c:v>
                </c:pt>
                <c:pt idx="37">
                  <c:v>49.744897959183668</c:v>
                </c:pt>
                <c:pt idx="38">
                  <c:v>49.658965476540082</c:v>
                </c:pt>
                <c:pt idx="39">
                  <c:v>49.459384224203632</c:v>
                </c:pt>
                <c:pt idx="40">
                  <c:v>60.617170791322948</c:v>
                </c:pt>
                <c:pt idx="41">
                  <c:v>90.489381348107116</c:v>
                </c:pt>
                <c:pt idx="42">
                  <c:v>30.07716049382714</c:v>
                </c:pt>
                <c:pt idx="43">
                  <c:v>12.54340277777778</c:v>
                </c:pt>
                <c:pt idx="44">
                  <c:v>74.570389953734278</c:v>
                </c:pt>
                <c:pt idx="45">
                  <c:v>48.212753788961969</c:v>
                </c:pt>
                <c:pt idx="46">
                  <c:v>41.20346093340325</c:v>
                </c:pt>
                <c:pt idx="47">
                  <c:v>66.404442387783433</c:v>
                </c:pt>
                <c:pt idx="48">
                  <c:v>29.97437092264677</c:v>
                </c:pt>
                <c:pt idx="49">
                  <c:v>57.553407934893187</c:v>
                </c:pt>
                <c:pt idx="50">
                  <c:v>64.204831404126807</c:v>
                </c:pt>
                <c:pt idx="51">
                  <c:v>66.967814793901738</c:v>
                </c:pt>
                <c:pt idx="52">
                  <c:v>52.33509870004815</c:v>
                </c:pt>
                <c:pt idx="53">
                  <c:v>60.506590850348942</c:v>
                </c:pt>
                <c:pt idx="54">
                  <c:v>47.884326489734597</c:v>
                </c:pt>
                <c:pt idx="55">
                  <c:v>16.45509362107266</c:v>
                </c:pt>
                <c:pt idx="56">
                  <c:v>72.011268985791304</c:v>
                </c:pt>
                <c:pt idx="57">
                  <c:v>62.674094707520887</c:v>
                </c:pt>
                <c:pt idx="58">
                  <c:v>59.044635865309317</c:v>
                </c:pt>
                <c:pt idx="59">
                  <c:v>62.870699881376012</c:v>
                </c:pt>
                <c:pt idx="60">
                  <c:v>64.78707782672538</c:v>
                </c:pt>
                <c:pt idx="61">
                  <c:v>54.697986577181183</c:v>
                </c:pt>
                <c:pt idx="62">
                  <c:v>48.290013679890592</c:v>
                </c:pt>
                <c:pt idx="63">
                  <c:v>48.69029275808937</c:v>
                </c:pt>
                <c:pt idx="64">
                  <c:v>57.534533277521938</c:v>
                </c:pt>
                <c:pt idx="65">
                  <c:v>48.935483870967737</c:v>
                </c:pt>
                <c:pt idx="66">
                  <c:v>33.230863818014143</c:v>
                </c:pt>
                <c:pt idx="67">
                  <c:v>36.494957754156438</c:v>
                </c:pt>
              </c:numCache>
            </c:numRef>
          </c:val>
          <c:smooth val="0"/>
          <c:extLst>
            <c:ext xmlns:c16="http://schemas.microsoft.com/office/drawing/2014/chart" uri="{C3380CC4-5D6E-409C-BE32-E72D297353CC}">
              <c16:uniqueId val="{00000001-7F01-4B1E-A8F5-0D998C194F37}"/>
            </c:ext>
          </c:extLst>
        </c:ser>
        <c:dLbls>
          <c:showLegendKey val="0"/>
          <c:showVal val="0"/>
          <c:showCatName val="0"/>
          <c:showSerName val="0"/>
          <c:showPercent val="0"/>
          <c:showBubbleSize val="0"/>
        </c:dLbls>
        <c:smooth val="0"/>
        <c:axId val="1442802127"/>
        <c:axId val="1442802959"/>
      </c:lineChart>
      <c:catAx>
        <c:axId val="1442802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959"/>
        <c:crosses val="autoZero"/>
        <c:auto val="1"/>
        <c:lblAlgn val="ctr"/>
        <c:lblOffset val="100"/>
        <c:noMultiLvlLbl val="0"/>
      </c:catAx>
      <c:valAx>
        <c:axId val="1442802959"/>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1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Health &amp; Education</a:t>
            </a:r>
          </a:p>
        </c:rich>
      </c:tx>
      <c:layout>
        <c:manualLayout>
          <c:xMode val="edge"/>
          <c:yMode val="edge"/>
          <c:x val="0.36138536921070591"/>
          <c:y val="1.882352941176470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387836947314944E-2"/>
          <c:y val="0.10719424460431655"/>
          <c:w val="0.88382876743431926"/>
          <c:h val="0.67401272682641289"/>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'!$C$8:$C$75</c:f>
              <c:numCache>
                <c:formatCode>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0-68FA-4A3C-A151-38E84572C1CF}"/>
            </c:ext>
          </c:extLst>
        </c:ser>
        <c:ser>
          <c:idx val="1"/>
          <c:order val="1"/>
          <c:tx>
            <c:strRef>
              <c:f>'5.2 '!$M$7</c:f>
              <c:strCache>
                <c:ptCount val="1"/>
                <c:pt idx="0">
                  <c:v>Health &amp; Education</c:v>
                </c:pt>
              </c:strCache>
            </c:strRef>
          </c:tx>
          <c:spPr>
            <a:ln w="28575" cap="rnd">
              <a:solidFill>
                <a:srgbClr val="D4C029"/>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'!$M$8:$M$75</c:f>
              <c:numCache>
                <c:formatCode>0.0</c:formatCode>
                <c:ptCount val="68"/>
                <c:pt idx="0">
                  <c:v>52.492012779552731</c:v>
                </c:pt>
                <c:pt idx="1">
                  <c:v>37.892948173322011</c:v>
                </c:pt>
                <c:pt idx="2">
                  <c:v>50.160771704180057</c:v>
                </c:pt>
                <c:pt idx="3">
                  <c:v>45.040431266846362</c:v>
                </c:pt>
                <c:pt idx="4">
                  <c:v>36.902050113895228</c:v>
                </c:pt>
                <c:pt idx="5">
                  <c:v>66.291727140783735</c:v>
                </c:pt>
                <c:pt idx="6">
                  <c:v>56.944444444444457</c:v>
                </c:pt>
                <c:pt idx="7">
                  <c:v>59.776785714285708</c:v>
                </c:pt>
                <c:pt idx="8">
                  <c:v>44.191714053614938</c:v>
                </c:pt>
                <c:pt idx="9">
                  <c:v>57.533112582781463</c:v>
                </c:pt>
                <c:pt idx="10">
                  <c:v>30.846153846153829</c:v>
                </c:pt>
                <c:pt idx="11">
                  <c:v>52.733389402859537</c:v>
                </c:pt>
                <c:pt idx="12">
                  <c:v>42.396313364055302</c:v>
                </c:pt>
                <c:pt idx="13">
                  <c:v>23.863636363636338</c:v>
                </c:pt>
                <c:pt idx="14">
                  <c:v>39.942528735632187</c:v>
                </c:pt>
                <c:pt idx="15">
                  <c:v>36.702127659574472</c:v>
                </c:pt>
                <c:pt idx="16">
                  <c:v>61.836283185840713</c:v>
                </c:pt>
                <c:pt idx="17">
                  <c:v>62.888735314443693</c:v>
                </c:pt>
                <c:pt idx="18">
                  <c:v>42.178542178542173</c:v>
                </c:pt>
                <c:pt idx="19">
                  <c:v>51.51175811870101</c:v>
                </c:pt>
                <c:pt idx="20">
                  <c:v>50.583238318372423</c:v>
                </c:pt>
                <c:pt idx="21">
                  <c:v>58.126036484245439</c:v>
                </c:pt>
                <c:pt idx="22">
                  <c:v>72.20708446866486</c:v>
                </c:pt>
                <c:pt idx="23">
                  <c:v>50.131752305665351</c:v>
                </c:pt>
                <c:pt idx="24">
                  <c:v>50</c:v>
                </c:pt>
                <c:pt idx="25">
                  <c:v>29.278273809523821</c:v>
                </c:pt>
                <c:pt idx="26">
                  <c:v>63.30304935920293</c:v>
                </c:pt>
                <c:pt idx="27">
                  <c:v>53.815681015438408</c:v>
                </c:pt>
                <c:pt idx="28">
                  <c:v>47.868852459016388</c:v>
                </c:pt>
                <c:pt idx="29">
                  <c:v>66.41044325933359</c:v>
                </c:pt>
                <c:pt idx="30">
                  <c:v>49.610739618015252</c:v>
                </c:pt>
                <c:pt idx="31">
                  <c:v>47.268366296667828</c:v>
                </c:pt>
                <c:pt idx="32">
                  <c:v>58.852232898436739</c:v>
                </c:pt>
                <c:pt idx="33">
                  <c:v>46.173364192600459</c:v>
                </c:pt>
                <c:pt idx="34">
                  <c:v>49.484597539279513</c:v>
                </c:pt>
                <c:pt idx="35">
                  <c:v>50.324240669179567</c:v>
                </c:pt>
                <c:pt idx="36">
                  <c:v>43.832967527716818</c:v>
                </c:pt>
                <c:pt idx="37">
                  <c:v>50</c:v>
                </c:pt>
                <c:pt idx="38">
                  <c:v>52.557509033409183</c:v>
                </c:pt>
                <c:pt idx="39">
                  <c:v>51.044952134794563</c:v>
                </c:pt>
                <c:pt idx="40">
                  <c:v>29.479647927697052</c:v>
                </c:pt>
                <c:pt idx="41">
                  <c:v>86.002048480710158</c:v>
                </c:pt>
                <c:pt idx="42">
                  <c:v>22.526949904882681</c:v>
                </c:pt>
                <c:pt idx="43">
                  <c:v>29.767600820232381</c:v>
                </c:pt>
                <c:pt idx="44">
                  <c:v>54.332992152848853</c:v>
                </c:pt>
                <c:pt idx="45">
                  <c:v>74.145962732919273</c:v>
                </c:pt>
                <c:pt idx="46">
                  <c:v>56.060606060606062</c:v>
                </c:pt>
                <c:pt idx="47">
                  <c:v>30.32258064516127</c:v>
                </c:pt>
                <c:pt idx="48">
                  <c:v>76.051282051282058</c:v>
                </c:pt>
                <c:pt idx="49">
                  <c:v>48.543538890610478</c:v>
                </c:pt>
                <c:pt idx="50">
                  <c:v>51.95773772529521</c:v>
                </c:pt>
                <c:pt idx="51">
                  <c:v>46.217452498240682</c:v>
                </c:pt>
                <c:pt idx="52">
                  <c:v>11.982308001608351</c:v>
                </c:pt>
                <c:pt idx="53">
                  <c:v>81.646894626657371</c:v>
                </c:pt>
                <c:pt idx="54">
                  <c:v>25.438288920056099</c:v>
                </c:pt>
                <c:pt idx="55">
                  <c:v>15.03371677905594</c:v>
                </c:pt>
                <c:pt idx="56">
                  <c:v>77.761982128350937</c:v>
                </c:pt>
                <c:pt idx="57">
                  <c:v>54.900124843945058</c:v>
                </c:pt>
                <c:pt idx="58">
                  <c:v>21.77449867574726</c:v>
                </c:pt>
                <c:pt idx="59">
                  <c:v>78.866565579984851</c:v>
                </c:pt>
                <c:pt idx="60">
                  <c:v>19.83684838838041</c:v>
                </c:pt>
                <c:pt idx="61">
                  <c:v>74.91046557898926</c:v>
                </c:pt>
                <c:pt idx="62">
                  <c:v>18.3484349258649</c:v>
                </c:pt>
                <c:pt idx="63">
                  <c:v>44.766708701134931</c:v>
                </c:pt>
                <c:pt idx="64">
                  <c:v>22.512801755669351</c:v>
                </c:pt>
                <c:pt idx="65">
                  <c:v>94.700724361418224</c:v>
                </c:pt>
                <c:pt idx="66">
                  <c:v>16.266145989786711</c:v>
                </c:pt>
                <c:pt idx="67">
                  <c:v>17.531120331950198</c:v>
                </c:pt>
              </c:numCache>
            </c:numRef>
          </c:val>
          <c:smooth val="0"/>
          <c:extLst>
            <c:ext xmlns:c16="http://schemas.microsoft.com/office/drawing/2014/chart" uri="{C3380CC4-5D6E-409C-BE32-E72D297353CC}">
              <c16:uniqueId val="{00000001-68FA-4A3C-A151-38E84572C1CF}"/>
            </c:ext>
          </c:extLst>
        </c:ser>
        <c:dLbls>
          <c:showLegendKey val="0"/>
          <c:showVal val="0"/>
          <c:showCatName val="0"/>
          <c:showSerName val="0"/>
          <c:showPercent val="0"/>
          <c:showBubbleSize val="0"/>
        </c:dLbls>
        <c:smooth val="0"/>
        <c:axId val="1375560159"/>
        <c:axId val="1375564319"/>
      </c:lineChart>
      <c:catAx>
        <c:axId val="13755601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4319"/>
        <c:crosses val="autoZero"/>
        <c:auto val="1"/>
        <c:lblAlgn val="ctr"/>
        <c:lblOffset val="100"/>
        <c:noMultiLvlLbl val="0"/>
      </c:catAx>
      <c:valAx>
        <c:axId val="1375564319"/>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01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Other Private Services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'!$C$8:$C$75</c:f>
              <c:numCache>
                <c:formatCode>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0-E570-4E1B-8F5C-6116592AFB09}"/>
            </c:ext>
          </c:extLst>
        </c:ser>
        <c:ser>
          <c:idx val="1"/>
          <c:order val="1"/>
          <c:tx>
            <c:strRef>
              <c:f>'5.2 '!$N$7</c:f>
              <c:strCache>
                <c:ptCount val="1"/>
                <c:pt idx="0">
                  <c:v>Other Private Services</c:v>
                </c:pt>
              </c:strCache>
            </c:strRef>
          </c:tx>
          <c:spPr>
            <a:ln w="28575" cap="rnd">
              <a:solidFill>
                <a:srgbClr val="D4C029"/>
              </a:solidFill>
              <a:round/>
            </a:ln>
            <a:effectLst/>
          </c:spPr>
          <c:marker>
            <c:symbol val="none"/>
          </c:marker>
          <c:cat>
            <c:multiLvlStrRef>
              <c:f>'5.2 '!$A$8:$B$75</c:f>
              <c:multiLvlStrCache>
                <c:ptCount val="68"/>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pt idx="61">
                    <c:v>Sep</c:v>
                  </c:pt>
                  <c:pt idx="62">
                    <c:v>Oct</c:v>
                  </c:pt>
                  <c:pt idx="63">
                    <c:v>Nov</c:v>
                  </c:pt>
                  <c:pt idx="64">
                    <c:v>Dec</c:v>
                  </c:pt>
                  <c:pt idx="65">
                    <c:v>Jan</c:v>
                  </c:pt>
                  <c:pt idx="66">
                    <c:v>Feb</c:v>
                  </c:pt>
                  <c:pt idx="67">
                    <c:v>Mar</c:v>
                  </c:pt>
                </c:lvl>
                <c:lvl>
                  <c:pt idx="0">
                    <c:v>2020</c:v>
                  </c:pt>
                  <c:pt idx="5">
                    <c:v>2021</c:v>
                  </c:pt>
                  <c:pt idx="17">
                    <c:v>2022</c:v>
                  </c:pt>
                  <c:pt idx="29">
                    <c:v>2023</c:v>
                  </c:pt>
                  <c:pt idx="41">
                    <c:v>2024</c:v>
                  </c:pt>
                  <c:pt idx="53">
                    <c:v>2025</c:v>
                  </c:pt>
                  <c:pt idx="65">
                    <c:v>2026</c:v>
                  </c:pt>
                </c:lvl>
              </c:multiLvlStrCache>
            </c:multiLvlStrRef>
          </c:cat>
          <c:val>
            <c:numRef>
              <c:f>'5.2 '!$N$8:$N$75</c:f>
              <c:numCache>
                <c:formatCode>0.0</c:formatCode>
                <c:ptCount val="68"/>
                <c:pt idx="0">
                  <c:v>51.922829581993582</c:v>
                </c:pt>
                <c:pt idx="1">
                  <c:v>47.887077997671717</c:v>
                </c:pt>
                <c:pt idx="2">
                  <c:v>49.972799477749973</c:v>
                </c:pt>
                <c:pt idx="3">
                  <c:v>52.274042356208781</c:v>
                </c:pt>
                <c:pt idx="4">
                  <c:v>50.844725303069389</c:v>
                </c:pt>
                <c:pt idx="5">
                  <c:v>52.847364818617393</c:v>
                </c:pt>
                <c:pt idx="6">
                  <c:v>50.331369661266542</c:v>
                </c:pt>
                <c:pt idx="7">
                  <c:v>59.304380760005017</c:v>
                </c:pt>
                <c:pt idx="8">
                  <c:v>53.005123944052073</c:v>
                </c:pt>
                <c:pt idx="9">
                  <c:v>61.474321133412047</c:v>
                </c:pt>
                <c:pt idx="10">
                  <c:v>53.402110568593471</c:v>
                </c:pt>
                <c:pt idx="11">
                  <c:v>53.003837501654097</c:v>
                </c:pt>
                <c:pt idx="12">
                  <c:v>47.656361305029201</c:v>
                </c:pt>
                <c:pt idx="13">
                  <c:v>9.0050708165763353</c:v>
                </c:pt>
                <c:pt idx="14">
                  <c:v>37.875417130144612</c:v>
                </c:pt>
                <c:pt idx="15">
                  <c:v>49.468218218218219</c:v>
                </c:pt>
                <c:pt idx="16">
                  <c:v>44.033140772271203</c:v>
                </c:pt>
                <c:pt idx="17">
                  <c:v>49.471717562169822</c:v>
                </c:pt>
                <c:pt idx="18">
                  <c:v>38.215703855514278</c:v>
                </c:pt>
                <c:pt idx="19">
                  <c:v>28.780828664013359</c:v>
                </c:pt>
                <c:pt idx="20">
                  <c:v>78.204926296957382</c:v>
                </c:pt>
                <c:pt idx="21">
                  <c:v>47.08119262484378</c:v>
                </c:pt>
                <c:pt idx="22">
                  <c:v>67.155584160812822</c:v>
                </c:pt>
                <c:pt idx="23">
                  <c:v>46.75186950570356</c:v>
                </c:pt>
                <c:pt idx="24">
                  <c:v>26.51158427844069</c:v>
                </c:pt>
                <c:pt idx="25">
                  <c:v>31.878204211470621</c:v>
                </c:pt>
                <c:pt idx="26">
                  <c:v>44.915018748962467</c:v>
                </c:pt>
                <c:pt idx="27">
                  <c:v>73.95691549345301</c:v>
                </c:pt>
                <c:pt idx="28">
                  <c:v>64.619654718079147</c:v>
                </c:pt>
                <c:pt idx="29">
                  <c:v>57.992207552490058</c:v>
                </c:pt>
                <c:pt idx="30">
                  <c:v>69.281026042915229</c:v>
                </c:pt>
                <c:pt idx="31">
                  <c:v>63.596018274860029</c:v>
                </c:pt>
                <c:pt idx="32">
                  <c:v>42.803896742427881</c:v>
                </c:pt>
                <c:pt idx="33">
                  <c:v>46.369784259349977</c:v>
                </c:pt>
                <c:pt idx="34">
                  <c:v>53.308071482974817</c:v>
                </c:pt>
                <c:pt idx="35">
                  <c:v>48.66728550590107</c:v>
                </c:pt>
                <c:pt idx="36">
                  <c:v>54.400691272682387</c:v>
                </c:pt>
                <c:pt idx="37">
                  <c:v>34.498195885164172</c:v>
                </c:pt>
                <c:pt idx="38">
                  <c:v>49.235366334252838</c:v>
                </c:pt>
                <c:pt idx="39">
                  <c:v>43.85512408372697</c:v>
                </c:pt>
                <c:pt idx="40">
                  <c:v>51.017970216128496</c:v>
                </c:pt>
                <c:pt idx="41">
                  <c:v>54.602724177071522</c:v>
                </c:pt>
                <c:pt idx="42">
                  <c:v>53.512654636250147</c:v>
                </c:pt>
                <c:pt idx="43">
                  <c:v>54.878308002975857</c:v>
                </c:pt>
                <c:pt idx="44">
                  <c:v>61.488600804649082</c:v>
                </c:pt>
                <c:pt idx="45">
                  <c:v>55.172228779912011</c:v>
                </c:pt>
                <c:pt idx="46">
                  <c:v>55.728051391862962</c:v>
                </c:pt>
                <c:pt idx="47">
                  <c:v>60.39336929351402</c:v>
                </c:pt>
                <c:pt idx="48">
                  <c:v>51.219375769101688</c:v>
                </c:pt>
                <c:pt idx="49">
                  <c:v>53.50386208440613</c:v>
                </c:pt>
                <c:pt idx="50">
                  <c:v>51.130886169818318</c:v>
                </c:pt>
                <c:pt idx="51">
                  <c:v>47.380917050007433</c:v>
                </c:pt>
                <c:pt idx="52">
                  <c:v>45.247356265953563</c:v>
                </c:pt>
                <c:pt idx="53">
                  <c:v>58.370187304890727</c:v>
                </c:pt>
                <c:pt idx="54">
                  <c:v>47.059246476847868</c:v>
                </c:pt>
                <c:pt idx="55">
                  <c:v>42.109766532208759</c:v>
                </c:pt>
                <c:pt idx="56">
                  <c:v>40.695488721804487</c:v>
                </c:pt>
                <c:pt idx="57">
                  <c:v>41.362123228687459</c:v>
                </c:pt>
                <c:pt idx="58">
                  <c:v>58.600012300770089</c:v>
                </c:pt>
                <c:pt idx="59">
                  <c:v>55.811979657087313</c:v>
                </c:pt>
                <c:pt idx="60">
                  <c:v>35.798100198382457</c:v>
                </c:pt>
                <c:pt idx="61">
                  <c:v>50.906147416525691</c:v>
                </c:pt>
                <c:pt idx="62">
                  <c:v>52.158980769666421</c:v>
                </c:pt>
                <c:pt idx="63">
                  <c:v>51.88284518828452</c:v>
                </c:pt>
                <c:pt idx="64">
                  <c:v>24.171778227734599</c:v>
                </c:pt>
                <c:pt idx="65">
                  <c:v>50.315833801235257</c:v>
                </c:pt>
                <c:pt idx="66">
                  <c:v>51.979152922549147</c:v>
                </c:pt>
                <c:pt idx="67">
                  <c:v>67.277415852334428</c:v>
                </c:pt>
              </c:numCache>
            </c:numRef>
          </c:val>
          <c:smooth val="0"/>
          <c:extLst>
            <c:ext xmlns:c16="http://schemas.microsoft.com/office/drawing/2014/chart" uri="{C3380CC4-5D6E-409C-BE32-E72D297353CC}">
              <c16:uniqueId val="{00000001-E570-4E1B-8F5C-6116592AFB09}"/>
            </c:ext>
          </c:extLst>
        </c:ser>
        <c:dLbls>
          <c:showLegendKey val="0"/>
          <c:showVal val="0"/>
          <c:showCatName val="0"/>
          <c:showSerName val="0"/>
          <c:showPercent val="0"/>
          <c:showBubbleSize val="0"/>
        </c:dLbls>
        <c:smooth val="0"/>
        <c:axId val="1455243983"/>
        <c:axId val="1455239407"/>
      </c:lineChart>
      <c:catAx>
        <c:axId val="1455243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55239407"/>
        <c:crosses val="autoZero"/>
        <c:auto val="1"/>
        <c:lblAlgn val="ctr"/>
        <c:lblOffset val="100"/>
        <c:noMultiLvlLbl val="0"/>
      </c:catAx>
      <c:valAx>
        <c:axId val="1455239407"/>
        <c:scaling>
          <c:orientation val="minMax"/>
          <c:max val="9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55243983"/>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Heuristica" panose="02020603050705020204" pitchFamily="18" charset="0"/>
              </a:defRPr>
            </a:pPr>
            <a:r>
              <a:rPr lang="en-US" sz="2000" b="1">
                <a:solidFill>
                  <a:srgbClr val="006E59"/>
                </a:solidFill>
                <a:latin typeface="Heuristica" panose="02020603050705020204" pitchFamily="18" charset="0"/>
              </a:rPr>
              <a:t>Chart 6.1: </a:t>
            </a:r>
            <a:r>
              <a:rPr lang="en-US" sz="2000" b="1">
                <a:solidFill>
                  <a:srgbClr val="D4C029"/>
                </a:solidFill>
                <a:latin typeface="Heuristica" panose="02020603050705020204" pitchFamily="18" charset="0"/>
              </a:rPr>
              <a:t>Interest Rates: Banking Institutions</a:t>
            </a:r>
          </a:p>
        </c:rich>
      </c:tx>
      <c:overlay val="0"/>
    </c:title>
    <c:autoTitleDeleted val="0"/>
    <c:plotArea>
      <c:layout>
        <c:manualLayout>
          <c:layoutTarget val="inner"/>
          <c:xMode val="edge"/>
          <c:yMode val="edge"/>
          <c:x val="8.3378091301637161E-2"/>
          <c:y val="7.843378668575518E-2"/>
          <c:w val="0.89931250529167728"/>
          <c:h val="0.7446282245022402"/>
        </c:manualLayout>
      </c:layout>
      <c:lineChart>
        <c:grouping val="standard"/>
        <c:varyColors val="0"/>
        <c:ser>
          <c:idx val="0"/>
          <c:order val="0"/>
          <c:tx>
            <c:strRef>
              <c:f>'6.1'!$C$3</c:f>
              <c:strCache>
                <c:ptCount val="1"/>
                <c:pt idx="0">
                  <c:v>Average Deposit Rate 
3 Months</c:v>
                </c:pt>
              </c:strCache>
            </c:strRef>
          </c:tx>
          <c:spPr>
            <a:ln>
              <a:solidFill>
                <a:schemeClr val="tx1">
                  <a:lumMod val="50000"/>
                  <a:lumOff val="5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8-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19-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1A-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1B-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1C-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1D-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1E-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1F-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20-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21-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22-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23-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24-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25-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26-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27-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28-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29-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2A-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2B-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2C-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2D-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2E-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2F-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30-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31-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32-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33-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34-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35-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36-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37-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38-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39-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3A-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3B-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3C-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3D-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3E-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3F-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40-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41-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42-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43-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44-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45-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0-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2-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2-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0-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0-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6-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7-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8-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5-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4-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2-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8-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7-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6-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5-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4-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6-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4-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0-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3-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6-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7-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8-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4-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7-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8-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8-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7-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6-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6-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8-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7-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E-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F-1978-4EA1-8AE3-2DDA32721E51}"/>
                </c:ext>
              </c:extLst>
            </c:dLbl>
            <c:dLbl>
              <c:idx val="80"/>
              <c:delete val="1"/>
              <c:extLst>
                <c:ext xmlns:c15="http://schemas.microsoft.com/office/drawing/2012/chart" uri="{CE6537A1-D6FC-4f65-9D91-7224C49458BB}"/>
                <c:ext xmlns:c16="http://schemas.microsoft.com/office/drawing/2014/chart" uri="{C3380CC4-5D6E-409C-BE32-E72D297353CC}">
                  <c16:uniqueId val="{00000080-1978-4EA1-8AE3-2DDA32721E51}"/>
                </c:ext>
              </c:extLst>
            </c:dLbl>
            <c:dLbl>
              <c:idx val="81"/>
              <c:delete val="1"/>
              <c:extLst>
                <c:ext xmlns:c15="http://schemas.microsoft.com/office/drawing/2012/chart" uri="{CE6537A1-D6FC-4f65-9D91-7224C49458BB}"/>
                <c:ext xmlns:c16="http://schemas.microsoft.com/office/drawing/2014/chart" uri="{C3380CC4-5D6E-409C-BE32-E72D297353CC}">
                  <c16:uniqueId val="{00000079-DFF8-4DFB-AAEB-7CDCBFD32B19}"/>
                </c:ext>
              </c:extLst>
            </c:dLbl>
            <c:dLbl>
              <c:idx val="82"/>
              <c:delete val="1"/>
              <c:extLst>
                <c:ext xmlns:c15="http://schemas.microsoft.com/office/drawing/2012/chart" uri="{CE6537A1-D6FC-4f65-9D91-7224C49458BB}"/>
                <c:ext xmlns:c16="http://schemas.microsoft.com/office/drawing/2014/chart" uri="{C3380CC4-5D6E-409C-BE32-E72D297353CC}">
                  <c16:uniqueId val="{00000078-DFF8-4DFB-AAEB-7CDCBFD32B19}"/>
                </c:ext>
              </c:extLst>
            </c:dLbl>
            <c:dLbl>
              <c:idx val="83"/>
              <c:delete val="1"/>
              <c:extLst>
                <c:ext xmlns:c15="http://schemas.microsoft.com/office/drawing/2012/chart" uri="{CE6537A1-D6FC-4f65-9D91-7224C49458BB}"/>
                <c:ext xmlns:c16="http://schemas.microsoft.com/office/drawing/2014/chart" uri="{C3380CC4-5D6E-409C-BE32-E72D297353CC}">
                  <c16:uniqueId val="{0000007A-DFF8-4DFB-AAEB-7CDCBFD32B19}"/>
                </c:ext>
              </c:extLst>
            </c:dLbl>
            <c:dLbl>
              <c:idx val="84"/>
              <c:delete val="1"/>
              <c:extLst>
                <c:ext xmlns:c15="http://schemas.microsoft.com/office/drawing/2012/chart" uri="{CE6537A1-D6FC-4f65-9D91-7224C49458BB}"/>
                <c:ext xmlns:c16="http://schemas.microsoft.com/office/drawing/2014/chart" uri="{C3380CC4-5D6E-409C-BE32-E72D297353CC}">
                  <c16:uniqueId val="{00000080-E22D-4968-B277-C66C2064008D}"/>
                </c:ext>
              </c:extLst>
            </c:dLbl>
            <c:dLbl>
              <c:idx val="85"/>
              <c:delete val="1"/>
              <c:extLst>
                <c:ext xmlns:c15="http://schemas.microsoft.com/office/drawing/2012/chart" uri="{CE6537A1-D6FC-4f65-9D91-7224C49458BB}"/>
                <c:ext xmlns:c16="http://schemas.microsoft.com/office/drawing/2014/chart" uri="{C3380CC4-5D6E-409C-BE32-E72D297353CC}">
                  <c16:uniqueId val="{0000007F-E22D-4968-B277-C66C2064008D}"/>
                </c:ext>
              </c:extLst>
            </c:dLbl>
            <c:dLbl>
              <c:idx val="86"/>
              <c:layout>
                <c:manualLayout>
                  <c:x val="-2.7763794921529236E-2"/>
                  <c:y val="-2.47946127946128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E-E22D-4968-B277-C66C2064008D}"/>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'6.1'!$A$29:$B$187</c15:sqref>
                  </c15:fullRef>
                </c:ext>
              </c:extLst>
              <c:f>'6.1'!$A$101:$B$187</c:f>
              <c:multiLvlStrCache>
                <c:ptCount val="8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pt idx="81">
                    <c:v>Oct</c:v>
                  </c:pt>
                  <c:pt idx="82">
                    <c:v>Nov</c:v>
                  </c:pt>
                  <c:pt idx="83">
                    <c:v>Dec</c:v>
                  </c:pt>
                  <c:pt idx="84">
                    <c:v>Jan</c:v>
                  </c:pt>
                  <c:pt idx="85">
                    <c:v>Feb</c:v>
                  </c:pt>
                  <c:pt idx="86">
                    <c:v>Mar</c:v>
                  </c:pt>
                </c:lvl>
                <c:lvl>
                  <c:pt idx="0">
                    <c:v>2019</c:v>
                  </c:pt>
                  <c:pt idx="12">
                    <c:v>2020</c:v>
                  </c:pt>
                  <c:pt idx="24">
                    <c:v>2021</c:v>
                  </c:pt>
                  <c:pt idx="36">
                    <c:v>2022</c:v>
                  </c:pt>
                  <c:pt idx="48">
                    <c:v>2023</c:v>
                  </c:pt>
                  <c:pt idx="60">
                    <c:v>2024</c:v>
                  </c:pt>
                  <c:pt idx="72">
                    <c:v>2025</c:v>
                  </c:pt>
                  <c:pt idx="84">
                    <c:v>2026</c:v>
                  </c:pt>
                </c:lvl>
              </c:multiLvlStrCache>
            </c:multiLvlStrRef>
          </c:cat>
          <c:val>
            <c:numRef>
              <c:extLst>
                <c:ext xmlns:c15="http://schemas.microsoft.com/office/drawing/2012/chart" uri="{02D57815-91ED-43cb-92C2-25804820EDAC}">
                  <c15:fullRef>
                    <c15:sqref>'6.1'!$C$29:$C$187</c15:sqref>
                  </c15:fullRef>
                </c:ext>
              </c:extLst>
              <c:f>'6.1'!$C$101:$C$187</c:f>
              <c:numCache>
                <c:formatCode>#,##0.000</c:formatCode>
                <c:ptCount val="87"/>
                <c:pt idx="0" formatCode="0.000">
                  <c:v>0.32</c:v>
                </c:pt>
                <c:pt idx="1" formatCode="0.000">
                  <c:v>0.32800000000000001</c:v>
                </c:pt>
                <c:pt idx="2" formatCode="0.000">
                  <c:v>0.32900000000000001</c:v>
                </c:pt>
                <c:pt idx="3" formatCode="0.000">
                  <c:v>0.34399999999999997</c:v>
                </c:pt>
                <c:pt idx="4" formatCode="0.000">
                  <c:v>0.38600000000000001</c:v>
                </c:pt>
                <c:pt idx="5" formatCode="0.000">
                  <c:v>0.38600000000000001</c:v>
                </c:pt>
                <c:pt idx="6" formatCode="0.000">
                  <c:v>0.38600000000000001</c:v>
                </c:pt>
                <c:pt idx="7" formatCode="0.000">
                  <c:v>0.41199999999999998</c:v>
                </c:pt>
                <c:pt idx="8" formatCode="0.000">
                  <c:v>0.41399999999999998</c:v>
                </c:pt>
                <c:pt idx="9" formatCode="0.000">
                  <c:v>0.41299999999999998</c:v>
                </c:pt>
                <c:pt idx="10" formatCode="0.000">
                  <c:v>0.35199999999999998</c:v>
                </c:pt>
                <c:pt idx="11" formatCode="0.000">
                  <c:v>0.34300000000000003</c:v>
                </c:pt>
                <c:pt idx="12" formatCode="0.000">
                  <c:v>0.34300000000000003</c:v>
                </c:pt>
                <c:pt idx="13" formatCode="0.000">
                  <c:v>0.34300000000000003</c:v>
                </c:pt>
                <c:pt idx="14" formatCode="0.000">
                  <c:v>0.33900000000000002</c:v>
                </c:pt>
                <c:pt idx="15" formatCode="0.000">
                  <c:v>0.311</c:v>
                </c:pt>
                <c:pt idx="16" formatCode="0.000">
                  <c:v>0.251</c:v>
                </c:pt>
                <c:pt idx="17" formatCode="0.000">
                  <c:v>0.24199999999999999</c:v>
                </c:pt>
                <c:pt idx="18" formatCode="0.000">
                  <c:v>0.17599999999999999</c:v>
                </c:pt>
                <c:pt idx="19" formatCode="0.000">
                  <c:v>0.161</c:v>
                </c:pt>
                <c:pt idx="20" formatCode="0.000">
                  <c:v>0.14799999999999999</c:v>
                </c:pt>
                <c:pt idx="21" formatCode="0.000">
                  <c:v>0.14799999999999999</c:v>
                </c:pt>
                <c:pt idx="22" formatCode="0.000">
                  <c:v>0.14899999999999999</c:v>
                </c:pt>
                <c:pt idx="23" formatCode="0.000">
                  <c:v>0.14899999999999999</c:v>
                </c:pt>
                <c:pt idx="24" formatCode="0.000">
                  <c:v>0.13600000000000001</c:v>
                </c:pt>
                <c:pt idx="25" formatCode="0.000">
                  <c:v>0.14699999999999999</c:v>
                </c:pt>
                <c:pt idx="26" formatCode="0.000">
                  <c:v>0.14699999999999999</c:v>
                </c:pt>
                <c:pt idx="27" formatCode="0.000">
                  <c:v>0.14699999999999999</c:v>
                </c:pt>
                <c:pt idx="28" formatCode="0.000">
                  <c:v>0.14799999999999999</c:v>
                </c:pt>
                <c:pt idx="29" formatCode="0.000">
                  <c:v>0.14799999999999999</c:v>
                </c:pt>
                <c:pt idx="30" formatCode="0.000">
                  <c:v>0.13500000000000001</c:v>
                </c:pt>
                <c:pt idx="31" formatCode="0.000">
                  <c:v>0.13500000000000001</c:v>
                </c:pt>
                <c:pt idx="32" formatCode="0.000">
                  <c:v>0.129</c:v>
                </c:pt>
                <c:pt idx="33" formatCode="0.000">
                  <c:v>0.129</c:v>
                </c:pt>
                <c:pt idx="34" formatCode="0.000">
                  <c:v>0.13</c:v>
                </c:pt>
                <c:pt idx="35" formatCode="0.000">
                  <c:v>0.13100000000000001</c:v>
                </c:pt>
                <c:pt idx="36" formatCode="0.000">
                  <c:v>0.13100000000000001</c:v>
                </c:pt>
                <c:pt idx="37" formatCode="0.000">
                  <c:v>0.13100000000000001</c:v>
                </c:pt>
                <c:pt idx="38" formatCode="0.000">
                  <c:v>0.13300000000000001</c:v>
                </c:pt>
                <c:pt idx="39" formatCode="0.000">
                  <c:v>0.13300000000000001</c:v>
                </c:pt>
                <c:pt idx="40" formatCode="0.000">
                  <c:v>0.13900000000000001</c:v>
                </c:pt>
                <c:pt idx="41" formatCode="0.000">
                  <c:v>0.13900000000000001</c:v>
                </c:pt>
                <c:pt idx="42" formatCode="0.000">
                  <c:v>0.13900000000000001</c:v>
                </c:pt>
                <c:pt idx="43" formatCode="0.000">
                  <c:v>0.13900000000000001</c:v>
                </c:pt>
                <c:pt idx="44" formatCode="0.000">
                  <c:v>0.13900000000000001</c:v>
                </c:pt>
                <c:pt idx="45" formatCode="0.000">
                  <c:v>0.158</c:v>
                </c:pt>
                <c:pt idx="46" formatCode="0.000">
                  <c:v>0.158</c:v>
                </c:pt>
                <c:pt idx="47" formatCode="0.000">
                  <c:v>0.158</c:v>
                </c:pt>
                <c:pt idx="48" formatCode="0.000">
                  <c:v>0.17599999999999999</c:v>
                </c:pt>
                <c:pt idx="49" formatCode="0.000">
                  <c:v>0.17599999999999999</c:v>
                </c:pt>
                <c:pt idx="50" formatCode="0.000">
                  <c:v>0.17599999999999999</c:v>
                </c:pt>
                <c:pt idx="51" formatCode="0.000">
                  <c:v>0.17599999999999999</c:v>
                </c:pt>
                <c:pt idx="52" formatCode="0.000">
                  <c:v>0.17624999999999999</c:v>
                </c:pt>
                <c:pt idx="53" formatCode="0.000">
                  <c:v>0.17699999999999999</c:v>
                </c:pt>
                <c:pt idx="54" formatCode="0.000">
                  <c:v>0.184</c:v>
                </c:pt>
                <c:pt idx="55" formatCode="0.000">
                  <c:v>0.184</c:v>
                </c:pt>
                <c:pt idx="56" formatCode="0.000">
                  <c:v>0.22</c:v>
                </c:pt>
                <c:pt idx="57" formatCode="0.000">
                  <c:v>0.219</c:v>
                </c:pt>
                <c:pt idx="58" formatCode="0.000">
                  <c:v>0.222</c:v>
                </c:pt>
                <c:pt idx="59" formatCode="0.000">
                  <c:v>0.221</c:v>
                </c:pt>
                <c:pt idx="60" formatCode="0.000">
                  <c:v>0.22</c:v>
                </c:pt>
                <c:pt idx="61" formatCode="0.000">
                  <c:v>0.22600000000000001</c:v>
                </c:pt>
                <c:pt idx="62" formatCode="0.000">
                  <c:v>0.42</c:v>
                </c:pt>
                <c:pt idx="63" formatCode="0.000">
                  <c:v>0.42</c:v>
                </c:pt>
                <c:pt idx="64" formatCode="0.000">
                  <c:v>0.45700000000000002</c:v>
                </c:pt>
                <c:pt idx="65" formatCode="0.000">
                  <c:v>0.44600000000000001</c:v>
                </c:pt>
                <c:pt idx="66" formatCode="0.000">
                  <c:v>0.45900000000000002</c:v>
                </c:pt>
                <c:pt idx="67" formatCode="0.000">
                  <c:v>0.45300000000000001</c:v>
                </c:pt>
                <c:pt idx="68" formatCode="0.000">
                  <c:v>0.29699999999999999</c:v>
                </c:pt>
                <c:pt idx="69" formatCode="0.000">
                  <c:v>0.436</c:v>
                </c:pt>
                <c:pt idx="70" formatCode="0.000">
                  <c:v>0.42699999999999999</c:v>
                </c:pt>
                <c:pt idx="71" formatCode="0.000">
                  <c:v>0.39500000000000002</c:v>
                </c:pt>
                <c:pt idx="72" formatCode="0.000">
                  <c:v>0.39400000000000002</c:v>
                </c:pt>
                <c:pt idx="73" formatCode="0.000">
                  <c:v>0.39</c:v>
                </c:pt>
                <c:pt idx="74" formatCode="0.000">
                  <c:v>0.35599999999999998</c:v>
                </c:pt>
                <c:pt idx="75" formatCode="0.000">
                  <c:v>0.35399999999999998</c:v>
                </c:pt>
                <c:pt idx="76" formatCode="0.000">
                  <c:v>0.35499999999999998</c:v>
                </c:pt>
                <c:pt idx="77" formatCode="0.000">
                  <c:v>0.317</c:v>
                </c:pt>
                <c:pt idx="78" formatCode="0.000">
                  <c:v>0.316</c:v>
                </c:pt>
                <c:pt idx="79" formatCode="0.000">
                  <c:v>0.30599999999999999</c:v>
                </c:pt>
                <c:pt idx="80" formatCode="0.000">
                  <c:v>0.25</c:v>
                </c:pt>
                <c:pt idx="81" formatCode="0.000">
                  <c:v>0.248</c:v>
                </c:pt>
                <c:pt idx="82" formatCode="0.000">
                  <c:v>0.24299999999999999</c:v>
                </c:pt>
                <c:pt idx="83" formatCode="0.000">
                  <c:v>0.23599999999999999</c:v>
                </c:pt>
                <c:pt idx="84" formatCode="0.000">
                  <c:v>0.23499999999999999</c:v>
                </c:pt>
                <c:pt idx="85" formatCode="0.000">
                  <c:v>0.23400000000000001</c:v>
                </c:pt>
                <c:pt idx="86" formatCode="0.000">
                  <c:v>0.23300000000000001</c:v>
                </c:pt>
              </c:numCache>
            </c:numRef>
          </c:val>
          <c:smooth val="0"/>
          <c:extLst>
            <c:ext xmlns:c15="http://schemas.microsoft.com/office/drawing/2012/chart" uri="{02D57815-91ED-43cb-92C2-25804820EDAC}">
              <c15:categoryFilterExceptions>
                <c15:categoryFilterException>
                  <c15:sqref>'6.1'!$C$77</c15:sqref>
                  <c15:dLbl>
                    <c:idx val="-1"/>
                    <c:delete val="1"/>
                    <c:extLst>
                      <c:ext uri="{CE6537A1-D6FC-4f65-9D91-7224C49458BB}"/>
                      <c:ext xmlns:c16="http://schemas.microsoft.com/office/drawing/2014/chart" uri="{C3380CC4-5D6E-409C-BE32-E72D297353CC}">
                        <c16:uniqueId val="{00000000-74D4-4029-A7C0-F442D7EC5A7D}"/>
                      </c:ext>
                    </c:extLst>
                  </c15:dLbl>
                </c15:categoryFilterException>
                <c15:categoryFilterException>
                  <c15:sqref>'6.1'!$C$78</c15:sqref>
                  <c15:dLbl>
                    <c:idx val="-1"/>
                    <c:delete val="1"/>
                    <c:extLst>
                      <c:ext uri="{CE6537A1-D6FC-4f65-9D91-7224C49458BB}"/>
                      <c:ext xmlns:c16="http://schemas.microsoft.com/office/drawing/2014/chart" uri="{C3380CC4-5D6E-409C-BE32-E72D297353CC}">
                        <c16:uniqueId val="{00000001-74D4-4029-A7C0-F442D7EC5A7D}"/>
                      </c:ext>
                    </c:extLst>
                  </c15:dLbl>
                </c15:categoryFilterException>
                <c15:categoryFilterException>
                  <c15:sqref>'6.1'!$C$79</c15:sqref>
                  <c15:dLbl>
                    <c:idx val="-1"/>
                    <c:delete val="1"/>
                    <c:extLst>
                      <c:ext uri="{CE6537A1-D6FC-4f65-9D91-7224C49458BB}"/>
                      <c:ext xmlns:c16="http://schemas.microsoft.com/office/drawing/2014/chart" uri="{C3380CC4-5D6E-409C-BE32-E72D297353CC}">
                        <c16:uniqueId val="{00000002-74D4-4029-A7C0-F442D7EC5A7D}"/>
                      </c:ext>
                    </c:extLst>
                  </c15:dLbl>
                </c15:categoryFilterException>
                <c15:categoryFilterException>
                  <c15:sqref>'6.1'!$C$80</c15:sqref>
                  <c15:dLbl>
                    <c:idx val="-1"/>
                    <c:delete val="1"/>
                    <c:extLst>
                      <c:ext uri="{CE6537A1-D6FC-4f65-9D91-7224C49458BB}"/>
                      <c:ext xmlns:c16="http://schemas.microsoft.com/office/drawing/2014/chart" uri="{C3380CC4-5D6E-409C-BE32-E72D297353CC}">
                        <c16:uniqueId val="{00000003-74D4-4029-A7C0-F442D7EC5A7D}"/>
                      </c:ext>
                    </c:extLst>
                  </c15:dLbl>
                </c15:categoryFilterException>
                <c15:categoryFilterException>
                  <c15:sqref>'6.1'!$C$81</c15:sqref>
                  <c15:dLbl>
                    <c:idx val="-1"/>
                    <c:delete val="1"/>
                    <c:extLst>
                      <c:ext uri="{CE6537A1-D6FC-4f65-9D91-7224C49458BB}"/>
                      <c:ext xmlns:c16="http://schemas.microsoft.com/office/drawing/2014/chart" uri="{C3380CC4-5D6E-409C-BE32-E72D297353CC}">
                        <c16:uniqueId val="{00000004-74D4-4029-A7C0-F442D7EC5A7D}"/>
                      </c:ext>
                    </c:extLst>
                  </c15:dLbl>
                </c15:categoryFilterException>
                <c15:categoryFilterException>
                  <c15:sqref>'6.1'!$C$82</c15:sqref>
                  <c15:dLbl>
                    <c:idx val="-1"/>
                    <c:delete val="1"/>
                    <c:extLst>
                      <c:ext uri="{CE6537A1-D6FC-4f65-9D91-7224C49458BB}"/>
                      <c:ext xmlns:c16="http://schemas.microsoft.com/office/drawing/2014/chart" uri="{C3380CC4-5D6E-409C-BE32-E72D297353CC}">
                        <c16:uniqueId val="{00000005-74D4-4029-A7C0-F442D7EC5A7D}"/>
                      </c:ext>
                    </c:extLst>
                  </c15:dLbl>
                </c15:categoryFilterException>
                <c15:categoryFilterException>
                  <c15:sqref>'6.1'!$C$83</c15:sqref>
                  <c15:dLbl>
                    <c:idx val="-1"/>
                    <c:delete val="1"/>
                    <c:extLst>
                      <c:ext uri="{CE6537A1-D6FC-4f65-9D91-7224C49458BB}"/>
                      <c:ext xmlns:c16="http://schemas.microsoft.com/office/drawing/2014/chart" uri="{C3380CC4-5D6E-409C-BE32-E72D297353CC}">
                        <c16:uniqueId val="{00000006-74D4-4029-A7C0-F442D7EC5A7D}"/>
                      </c:ext>
                    </c:extLst>
                  </c15:dLbl>
                </c15:categoryFilterException>
                <c15:categoryFilterException>
                  <c15:sqref>'6.1'!$C$84</c15:sqref>
                  <c15:dLbl>
                    <c:idx val="-1"/>
                    <c:delete val="1"/>
                    <c:extLst>
                      <c:ext uri="{CE6537A1-D6FC-4f65-9D91-7224C49458BB}"/>
                      <c:ext xmlns:c16="http://schemas.microsoft.com/office/drawing/2014/chart" uri="{C3380CC4-5D6E-409C-BE32-E72D297353CC}">
                        <c16:uniqueId val="{00000007-74D4-4029-A7C0-F442D7EC5A7D}"/>
                      </c:ext>
                    </c:extLst>
                  </c15:dLbl>
                </c15:categoryFilterException>
                <c15:categoryFilterException>
                  <c15:sqref>'6.1'!$C$85</c15:sqref>
                  <c15:dLbl>
                    <c:idx val="-1"/>
                    <c:delete val="1"/>
                    <c:extLst>
                      <c:ext uri="{CE6537A1-D6FC-4f65-9D91-7224C49458BB}"/>
                      <c:ext xmlns:c16="http://schemas.microsoft.com/office/drawing/2014/chart" uri="{C3380CC4-5D6E-409C-BE32-E72D297353CC}">
                        <c16:uniqueId val="{00000008-74D4-4029-A7C0-F442D7EC5A7D}"/>
                      </c:ext>
                    </c:extLst>
                  </c15:dLbl>
                </c15:categoryFilterException>
                <c15:categoryFilterException>
                  <c15:sqref>'6.1'!$C$86</c15:sqref>
                  <c15:dLbl>
                    <c:idx val="-1"/>
                    <c:delete val="1"/>
                    <c:extLst>
                      <c:ext uri="{CE6537A1-D6FC-4f65-9D91-7224C49458BB}"/>
                      <c:ext xmlns:c16="http://schemas.microsoft.com/office/drawing/2014/chart" uri="{C3380CC4-5D6E-409C-BE32-E72D297353CC}">
                        <c16:uniqueId val="{00000009-74D4-4029-A7C0-F442D7EC5A7D}"/>
                      </c:ext>
                    </c:extLst>
                  </c15:dLbl>
                </c15:categoryFilterException>
                <c15:categoryFilterException>
                  <c15:sqref>'6.1'!$C$87</c15:sqref>
                  <c15:dLbl>
                    <c:idx val="-1"/>
                    <c:delete val="1"/>
                    <c:extLst>
                      <c:ext uri="{CE6537A1-D6FC-4f65-9D91-7224C49458BB}"/>
                      <c:ext xmlns:c16="http://schemas.microsoft.com/office/drawing/2014/chart" uri="{C3380CC4-5D6E-409C-BE32-E72D297353CC}">
                        <c16:uniqueId val="{0000000A-74D4-4029-A7C0-F442D7EC5A7D}"/>
                      </c:ext>
                    </c:extLst>
                  </c15:dLbl>
                </c15:categoryFilterException>
                <c15:categoryFilterException>
                  <c15:sqref>'6.1'!$C$88</c15:sqref>
                  <c15:dLbl>
                    <c:idx val="-1"/>
                    <c:delete val="1"/>
                    <c:extLst>
                      <c:ext uri="{CE6537A1-D6FC-4f65-9D91-7224C49458BB}"/>
                      <c:ext xmlns:c16="http://schemas.microsoft.com/office/drawing/2014/chart" uri="{C3380CC4-5D6E-409C-BE32-E72D297353CC}">
                        <c16:uniqueId val="{0000000B-74D4-4029-A7C0-F442D7EC5A7D}"/>
                      </c:ext>
                    </c:extLst>
                  </c15:dLbl>
                </c15:categoryFilterException>
                <c15:categoryFilterException>
                  <c15:sqref>'6.1'!$C$89</c15:sqref>
                  <c15:dLbl>
                    <c:idx val="-1"/>
                    <c:delete val="1"/>
                    <c:extLst>
                      <c:ext uri="{CE6537A1-D6FC-4f65-9D91-7224C49458BB}"/>
                      <c:ext xmlns:c16="http://schemas.microsoft.com/office/drawing/2014/chart" uri="{C3380CC4-5D6E-409C-BE32-E72D297353CC}">
                        <c16:uniqueId val="{0000000C-74D4-4029-A7C0-F442D7EC5A7D}"/>
                      </c:ext>
                    </c:extLst>
                  </c15:dLbl>
                </c15:categoryFilterException>
                <c15:categoryFilterException>
                  <c15:sqref>'6.1'!$C$90</c15:sqref>
                  <c15:dLbl>
                    <c:idx val="-1"/>
                    <c:delete val="1"/>
                    <c:extLst>
                      <c:ext uri="{CE6537A1-D6FC-4f65-9D91-7224C49458BB}"/>
                      <c:ext xmlns:c16="http://schemas.microsoft.com/office/drawing/2014/chart" uri="{C3380CC4-5D6E-409C-BE32-E72D297353CC}">
                        <c16:uniqueId val="{0000000D-74D4-4029-A7C0-F442D7EC5A7D}"/>
                      </c:ext>
                    </c:extLst>
                  </c15:dLbl>
                </c15:categoryFilterException>
                <c15:categoryFilterException>
                  <c15:sqref>'6.1'!$C$91</c15:sqref>
                  <c15:dLbl>
                    <c:idx val="-1"/>
                    <c:delete val="1"/>
                    <c:extLst>
                      <c:ext uri="{CE6537A1-D6FC-4f65-9D91-7224C49458BB}"/>
                      <c:ext xmlns:c16="http://schemas.microsoft.com/office/drawing/2014/chart" uri="{C3380CC4-5D6E-409C-BE32-E72D297353CC}">
                        <c16:uniqueId val="{0000000E-74D4-4029-A7C0-F442D7EC5A7D}"/>
                      </c:ext>
                    </c:extLst>
                  </c15:dLbl>
                </c15:categoryFilterException>
                <c15:categoryFilterException>
                  <c15:sqref>'6.1'!$C$92</c15:sqref>
                  <c15:dLbl>
                    <c:idx val="-1"/>
                    <c:delete val="1"/>
                    <c:extLst>
                      <c:ext uri="{CE6537A1-D6FC-4f65-9D91-7224C49458BB}"/>
                      <c:ext xmlns:c16="http://schemas.microsoft.com/office/drawing/2014/chart" uri="{C3380CC4-5D6E-409C-BE32-E72D297353CC}">
                        <c16:uniqueId val="{0000000F-74D4-4029-A7C0-F442D7EC5A7D}"/>
                      </c:ext>
                    </c:extLst>
                  </c15:dLbl>
                </c15:categoryFilterException>
                <c15:categoryFilterException>
                  <c15:sqref>'6.1'!$C$93</c15:sqref>
                  <c15:dLbl>
                    <c:idx val="-1"/>
                    <c:delete val="1"/>
                    <c:extLst>
                      <c:ext uri="{CE6537A1-D6FC-4f65-9D91-7224C49458BB}"/>
                      <c:ext xmlns:c16="http://schemas.microsoft.com/office/drawing/2014/chart" uri="{C3380CC4-5D6E-409C-BE32-E72D297353CC}">
                        <c16:uniqueId val="{00000010-74D4-4029-A7C0-F442D7EC5A7D}"/>
                      </c:ext>
                    </c:extLst>
                  </c15:dLbl>
                </c15:categoryFilterException>
                <c15:categoryFilterException>
                  <c15:sqref>'6.1'!$C$94</c15:sqref>
                  <c15:dLbl>
                    <c:idx val="-1"/>
                    <c:delete val="1"/>
                    <c:extLst>
                      <c:ext uri="{CE6537A1-D6FC-4f65-9D91-7224C49458BB}"/>
                      <c:ext xmlns:c16="http://schemas.microsoft.com/office/drawing/2014/chart" uri="{C3380CC4-5D6E-409C-BE32-E72D297353CC}">
                        <c16:uniqueId val="{00000011-74D4-4029-A7C0-F442D7EC5A7D}"/>
                      </c:ext>
                    </c:extLst>
                  </c15:dLbl>
                </c15:categoryFilterException>
                <c15:categoryFilterException>
                  <c15:sqref>'6.1'!$C$95</c15:sqref>
                  <c15:dLbl>
                    <c:idx val="-1"/>
                    <c:delete val="1"/>
                    <c:extLst>
                      <c:ext uri="{CE6537A1-D6FC-4f65-9D91-7224C49458BB}"/>
                      <c:ext xmlns:c16="http://schemas.microsoft.com/office/drawing/2014/chart" uri="{C3380CC4-5D6E-409C-BE32-E72D297353CC}">
                        <c16:uniqueId val="{00000012-74D4-4029-A7C0-F442D7EC5A7D}"/>
                      </c:ext>
                    </c:extLst>
                  </c15:dLbl>
                </c15:categoryFilterException>
                <c15:categoryFilterException>
                  <c15:sqref>'6.1'!$C$96</c15:sqref>
                  <c15:dLbl>
                    <c:idx val="-1"/>
                    <c:delete val="1"/>
                    <c:extLst>
                      <c:ext uri="{CE6537A1-D6FC-4f65-9D91-7224C49458BB}"/>
                      <c:ext xmlns:c16="http://schemas.microsoft.com/office/drawing/2014/chart" uri="{C3380CC4-5D6E-409C-BE32-E72D297353CC}">
                        <c16:uniqueId val="{00000013-74D4-4029-A7C0-F442D7EC5A7D}"/>
                      </c:ext>
                    </c:extLst>
                  </c15:dLbl>
                </c15:categoryFilterException>
                <c15:categoryFilterException>
                  <c15:sqref>'6.1'!$C$97</c15:sqref>
                  <c15:dLbl>
                    <c:idx val="-1"/>
                    <c:delete val="1"/>
                    <c:extLst>
                      <c:ext uri="{CE6537A1-D6FC-4f65-9D91-7224C49458BB}"/>
                      <c:ext xmlns:c16="http://schemas.microsoft.com/office/drawing/2014/chart" uri="{C3380CC4-5D6E-409C-BE32-E72D297353CC}">
                        <c16:uniqueId val="{00000014-74D4-4029-A7C0-F442D7EC5A7D}"/>
                      </c:ext>
                    </c:extLst>
                  </c15:dLbl>
                </c15:categoryFilterException>
                <c15:categoryFilterException>
                  <c15:sqref>'6.1'!$C$98</c15:sqref>
                  <c15:dLbl>
                    <c:idx val="-1"/>
                    <c:delete val="1"/>
                    <c:extLst>
                      <c:ext uri="{CE6537A1-D6FC-4f65-9D91-7224C49458BB}"/>
                      <c:ext xmlns:c16="http://schemas.microsoft.com/office/drawing/2014/chart" uri="{C3380CC4-5D6E-409C-BE32-E72D297353CC}">
                        <c16:uniqueId val="{00000015-74D4-4029-A7C0-F442D7EC5A7D}"/>
                      </c:ext>
                    </c:extLst>
                  </c15:dLbl>
                </c15:categoryFilterException>
                <c15:categoryFilterException>
                  <c15:sqref>'6.1'!$C$99</c15:sqref>
                  <c15:dLbl>
                    <c:idx val="-1"/>
                    <c:delete val="1"/>
                    <c:extLst>
                      <c:ext uri="{CE6537A1-D6FC-4f65-9D91-7224C49458BB}"/>
                      <c:ext xmlns:c16="http://schemas.microsoft.com/office/drawing/2014/chart" uri="{C3380CC4-5D6E-409C-BE32-E72D297353CC}">
                        <c16:uniqueId val="{00000016-74D4-4029-A7C0-F442D7EC5A7D}"/>
                      </c:ext>
                    </c:extLst>
                  </c15:dLbl>
                </c15:categoryFilterException>
                <c15:categoryFilterException>
                  <c15:sqref>'6.1'!$C$100</c15:sqref>
                  <c15:dLbl>
                    <c:idx val="-1"/>
                    <c:delete val="1"/>
                    <c:extLst>
                      <c:ext uri="{CE6537A1-D6FC-4f65-9D91-7224C49458BB}"/>
                      <c:ext xmlns:c16="http://schemas.microsoft.com/office/drawing/2014/chart" uri="{C3380CC4-5D6E-409C-BE32-E72D297353CC}">
                        <c16:uniqueId val="{00000017-74D4-4029-A7C0-F442D7EC5A7D}"/>
                      </c:ext>
                    </c:extLst>
                  </c15:dLbl>
                </c15:categoryFilterException>
              </c15:categoryFilterExceptions>
            </c:ext>
            <c:ext xmlns:c16="http://schemas.microsoft.com/office/drawing/2014/chart" uri="{C3380CC4-5D6E-409C-BE32-E72D297353CC}">
              <c16:uniqueId val="{00000046-671E-48EB-9C93-9A03351AE2D8}"/>
            </c:ext>
          </c:extLst>
        </c:ser>
        <c:ser>
          <c:idx val="1"/>
          <c:order val="1"/>
          <c:tx>
            <c:strRef>
              <c:f>'6.1'!$D$3</c:f>
              <c:strCache>
                <c:ptCount val="1"/>
                <c:pt idx="0">
                  <c:v>Average Deposit Rate 
6 Months</c:v>
                </c:pt>
              </c:strCache>
            </c:strRef>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5F-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60-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61-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62-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63-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64-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65-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66-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67-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68-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69-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6A-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6B-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6C-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6D-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6E-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6F-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70-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71-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72-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73-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74-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75-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76-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77-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78-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79-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7A-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7B-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7C-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7D-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7E-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7F-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80-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81-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82-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83-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84-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85-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86-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87-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88-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89-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8A-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8B-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8C-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1-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1-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1-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1-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1-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4-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5-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3-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3-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2-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1-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5-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4-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3-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9-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7-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8-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5-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1-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2-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5-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4-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3-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3-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5-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6-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5-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4-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3-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5-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4-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3-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B-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C-1978-4EA1-8AE3-2DDA32721E51}"/>
                </c:ext>
              </c:extLst>
            </c:dLbl>
            <c:dLbl>
              <c:idx val="80"/>
              <c:delete val="1"/>
              <c:extLst>
                <c:ext xmlns:c15="http://schemas.microsoft.com/office/drawing/2012/chart" uri="{CE6537A1-D6FC-4f65-9D91-7224C49458BB}"/>
                <c:ext xmlns:c16="http://schemas.microsoft.com/office/drawing/2014/chart" uri="{C3380CC4-5D6E-409C-BE32-E72D297353CC}">
                  <c16:uniqueId val="{0000007D-1978-4EA1-8AE3-2DDA32721E51}"/>
                </c:ext>
              </c:extLst>
            </c:dLbl>
            <c:dLbl>
              <c:idx val="81"/>
              <c:delete val="1"/>
              <c:extLst>
                <c:ext xmlns:c15="http://schemas.microsoft.com/office/drawing/2012/chart" uri="{CE6537A1-D6FC-4f65-9D91-7224C49458BB}"/>
                <c:ext xmlns:c16="http://schemas.microsoft.com/office/drawing/2014/chart" uri="{C3380CC4-5D6E-409C-BE32-E72D297353CC}">
                  <c16:uniqueId val="{0000007B-DFF8-4DFB-AAEB-7CDCBFD32B19}"/>
                </c:ext>
              </c:extLst>
            </c:dLbl>
            <c:dLbl>
              <c:idx val="82"/>
              <c:delete val="1"/>
              <c:extLst>
                <c:ext xmlns:c15="http://schemas.microsoft.com/office/drawing/2012/chart" uri="{CE6537A1-D6FC-4f65-9D91-7224C49458BB}"/>
                <c:ext xmlns:c16="http://schemas.microsoft.com/office/drawing/2014/chart" uri="{C3380CC4-5D6E-409C-BE32-E72D297353CC}">
                  <c16:uniqueId val="{0000007D-DFF8-4DFB-AAEB-7CDCBFD32B19}"/>
                </c:ext>
              </c:extLst>
            </c:dLbl>
            <c:dLbl>
              <c:idx val="83"/>
              <c:delete val="1"/>
              <c:extLst>
                <c:ext xmlns:c15="http://schemas.microsoft.com/office/drawing/2012/chart" uri="{CE6537A1-D6FC-4f65-9D91-7224C49458BB}"/>
                <c:ext xmlns:c16="http://schemas.microsoft.com/office/drawing/2014/chart" uri="{C3380CC4-5D6E-409C-BE32-E72D297353CC}">
                  <c16:uniqueId val="{0000007C-DFF8-4DFB-AAEB-7CDCBFD32B19}"/>
                </c:ext>
              </c:extLst>
            </c:dLbl>
            <c:dLbl>
              <c:idx val="84"/>
              <c:delete val="1"/>
              <c:extLst>
                <c:ext xmlns:c15="http://schemas.microsoft.com/office/drawing/2012/chart" uri="{CE6537A1-D6FC-4f65-9D91-7224C49458BB}"/>
                <c:ext xmlns:c16="http://schemas.microsoft.com/office/drawing/2014/chart" uri="{C3380CC4-5D6E-409C-BE32-E72D297353CC}">
                  <c16:uniqueId val="{0000007D-E22D-4968-B277-C66C2064008D}"/>
                </c:ext>
              </c:extLst>
            </c:dLbl>
            <c:dLbl>
              <c:idx val="85"/>
              <c:delete val="1"/>
              <c:extLst>
                <c:ext xmlns:c15="http://schemas.microsoft.com/office/drawing/2012/chart" uri="{CE6537A1-D6FC-4f65-9D91-7224C49458BB}"/>
                <c:ext xmlns:c16="http://schemas.microsoft.com/office/drawing/2014/chart" uri="{C3380CC4-5D6E-409C-BE32-E72D297353CC}">
                  <c16:uniqueId val="{0000007B-E22D-4968-B277-C66C2064008D}"/>
                </c:ext>
              </c:extLst>
            </c:dLbl>
            <c:dLbl>
              <c:idx val="86"/>
              <c:layout>
                <c:manualLayout>
                  <c:x val="-2.1776464158988925E-2"/>
                  <c:y val="-3.82626262626262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C-E22D-4968-B277-C66C2064008D}"/>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'6.1'!$A$29:$B$187</c15:sqref>
                  </c15:fullRef>
                </c:ext>
              </c:extLst>
              <c:f>'6.1'!$A$101:$B$187</c:f>
              <c:multiLvlStrCache>
                <c:ptCount val="8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pt idx="81">
                    <c:v>Oct</c:v>
                  </c:pt>
                  <c:pt idx="82">
                    <c:v>Nov</c:v>
                  </c:pt>
                  <c:pt idx="83">
                    <c:v>Dec</c:v>
                  </c:pt>
                  <c:pt idx="84">
                    <c:v>Jan</c:v>
                  </c:pt>
                  <c:pt idx="85">
                    <c:v>Feb</c:v>
                  </c:pt>
                  <c:pt idx="86">
                    <c:v>Mar</c:v>
                  </c:pt>
                </c:lvl>
                <c:lvl>
                  <c:pt idx="0">
                    <c:v>2019</c:v>
                  </c:pt>
                  <c:pt idx="12">
                    <c:v>2020</c:v>
                  </c:pt>
                  <c:pt idx="24">
                    <c:v>2021</c:v>
                  </c:pt>
                  <c:pt idx="36">
                    <c:v>2022</c:v>
                  </c:pt>
                  <c:pt idx="48">
                    <c:v>2023</c:v>
                  </c:pt>
                  <c:pt idx="60">
                    <c:v>2024</c:v>
                  </c:pt>
                  <c:pt idx="72">
                    <c:v>2025</c:v>
                  </c:pt>
                  <c:pt idx="84">
                    <c:v>2026</c:v>
                  </c:pt>
                </c:lvl>
              </c:multiLvlStrCache>
            </c:multiLvlStrRef>
          </c:cat>
          <c:val>
            <c:numRef>
              <c:extLst>
                <c:ext xmlns:c15="http://schemas.microsoft.com/office/drawing/2012/chart" uri="{02D57815-91ED-43cb-92C2-25804820EDAC}">
                  <c15:fullRef>
                    <c15:sqref>'6.1'!$D$29:$D$187</c15:sqref>
                  </c15:fullRef>
                </c:ext>
              </c:extLst>
              <c:f>'6.1'!$D$101:$D$187</c:f>
              <c:numCache>
                <c:formatCode>#,##0.000</c:formatCode>
                <c:ptCount val="87"/>
                <c:pt idx="0" formatCode="0.000">
                  <c:v>0.439</c:v>
                </c:pt>
                <c:pt idx="1" formatCode="0.000">
                  <c:v>0.44400000000000001</c:v>
                </c:pt>
                <c:pt idx="2" formatCode="0.000">
                  <c:v>0.44700000000000001</c:v>
                </c:pt>
                <c:pt idx="3" formatCode="0.000">
                  <c:v>0.46</c:v>
                </c:pt>
                <c:pt idx="4" formatCode="0.000">
                  <c:v>0.46899999999999997</c:v>
                </c:pt>
                <c:pt idx="5" formatCode="0.000">
                  <c:v>0.49199999999999999</c:v>
                </c:pt>
                <c:pt idx="6" formatCode="0.000">
                  <c:v>0.49399999999999999</c:v>
                </c:pt>
                <c:pt idx="7" formatCode="0.000">
                  <c:v>0.49199999999999999</c:v>
                </c:pt>
                <c:pt idx="8" formatCode="0.000">
                  <c:v>0.49099999999999999</c:v>
                </c:pt>
                <c:pt idx="9" formatCode="0.000">
                  <c:v>0.47499999999999998</c:v>
                </c:pt>
                <c:pt idx="10" formatCode="0.000">
                  <c:v>0.46899999999999997</c:v>
                </c:pt>
                <c:pt idx="11" formatCode="0.000">
                  <c:v>0.46500000000000002</c:v>
                </c:pt>
                <c:pt idx="12" formatCode="0.000">
                  <c:v>0.436</c:v>
                </c:pt>
                <c:pt idx="13" formatCode="0.000">
                  <c:v>0.436</c:v>
                </c:pt>
                <c:pt idx="14" formatCode="0.000">
                  <c:v>0.435</c:v>
                </c:pt>
                <c:pt idx="15" formatCode="0.000">
                  <c:v>0.39600000000000002</c:v>
                </c:pt>
                <c:pt idx="16" formatCode="0.000">
                  <c:v>0.372</c:v>
                </c:pt>
                <c:pt idx="17" formatCode="0.000">
                  <c:v>0.36899999999999999</c:v>
                </c:pt>
                <c:pt idx="18" formatCode="0.000">
                  <c:v>0.28299999999999997</c:v>
                </c:pt>
                <c:pt idx="19" formatCode="0.000">
                  <c:v>0.27200000000000002</c:v>
                </c:pt>
                <c:pt idx="20" formatCode="0.000">
                  <c:v>0.25</c:v>
                </c:pt>
                <c:pt idx="21" formatCode="0.000">
                  <c:v>0.23599999999999999</c:v>
                </c:pt>
                <c:pt idx="22" formatCode="0.000">
                  <c:v>0.23100000000000001</c:v>
                </c:pt>
                <c:pt idx="23" formatCode="0.000">
                  <c:v>0.23100000000000001</c:v>
                </c:pt>
                <c:pt idx="24" formatCode="0.000">
                  <c:v>0.23100000000000001</c:v>
                </c:pt>
                <c:pt idx="25" formatCode="0.000">
                  <c:v>0.23100000000000001</c:v>
                </c:pt>
                <c:pt idx="26" formatCode="0.000">
                  <c:v>0.22500000000000001</c:v>
                </c:pt>
                <c:pt idx="27" formatCode="0.000">
                  <c:v>0.22500000000000001</c:v>
                </c:pt>
                <c:pt idx="28" formatCode="0.000">
                  <c:v>0.22500000000000001</c:v>
                </c:pt>
                <c:pt idx="29" formatCode="0.000">
                  <c:v>0.224</c:v>
                </c:pt>
                <c:pt idx="30" formatCode="0.000">
                  <c:v>0.19900000000000001</c:v>
                </c:pt>
                <c:pt idx="31" formatCode="0.000">
                  <c:v>0.19900000000000001</c:v>
                </c:pt>
                <c:pt idx="32" formatCode="0.000">
                  <c:v>0.187</c:v>
                </c:pt>
                <c:pt idx="33" formatCode="0.000">
                  <c:v>0.187</c:v>
                </c:pt>
                <c:pt idx="34" formatCode="0.000">
                  <c:v>0.187</c:v>
                </c:pt>
                <c:pt idx="35" formatCode="0.000">
                  <c:v>0.187</c:v>
                </c:pt>
                <c:pt idx="36" formatCode="0.000">
                  <c:v>0.187</c:v>
                </c:pt>
                <c:pt idx="37" formatCode="0.000">
                  <c:v>0.187</c:v>
                </c:pt>
                <c:pt idx="38" formatCode="0.000">
                  <c:v>0.187</c:v>
                </c:pt>
                <c:pt idx="39" formatCode="0.000">
                  <c:v>0.187</c:v>
                </c:pt>
                <c:pt idx="40" formatCode="0.000">
                  <c:v>0.187</c:v>
                </c:pt>
                <c:pt idx="41" formatCode="0.000">
                  <c:v>0.187</c:v>
                </c:pt>
                <c:pt idx="42" formatCode="0.000">
                  <c:v>0.187</c:v>
                </c:pt>
                <c:pt idx="43" formatCode="0.000">
                  <c:v>0.187</c:v>
                </c:pt>
                <c:pt idx="44" formatCode="0.000">
                  <c:v>0.187</c:v>
                </c:pt>
                <c:pt idx="45" formatCode="0.000">
                  <c:v>0.219</c:v>
                </c:pt>
                <c:pt idx="46" formatCode="0.000">
                  <c:v>0.25</c:v>
                </c:pt>
                <c:pt idx="47" formatCode="0.000">
                  <c:v>0.26900000000000002</c:v>
                </c:pt>
                <c:pt idx="48" formatCode="0.000">
                  <c:v>0.3</c:v>
                </c:pt>
                <c:pt idx="49" formatCode="0.000">
                  <c:v>0.311</c:v>
                </c:pt>
                <c:pt idx="50" formatCode="0.000">
                  <c:v>0.312</c:v>
                </c:pt>
                <c:pt idx="51" formatCode="0.000">
                  <c:v>0.312</c:v>
                </c:pt>
                <c:pt idx="52" formatCode="0.000">
                  <c:v>0.33163749999999997</c:v>
                </c:pt>
                <c:pt idx="53" formatCode="0.000">
                  <c:v>0.33200000000000002</c:v>
                </c:pt>
                <c:pt idx="54" formatCode="0.000">
                  <c:v>0.35599999999999998</c:v>
                </c:pt>
                <c:pt idx="55" formatCode="0.000">
                  <c:v>0.35599999999999998</c:v>
                </c:pt>
                <c:pt idx="56" formatCode="0.000">
                  <c:v>0.36699999999999999</c:v>
                </c:pt>
                <c:pt idx="57" formatCode="0.000">
                  <c:v>0.375</c:v>
                </c:pt>
                <c:pt idx="58" formatCode="0.000">
                  <c:v>0.38</c:v>
                </c:pt>
                <c:pt idx="59" formatCode="0.000">
                  <c:v>0.38100000000000001</c:v>
                </c:pt>
                <c:pt idx="60" formatCode="0.000">
                  <c:v>0.36</c:v>
                </c:pt>
                <c:pt idx="61" formatCode="0.000">
                  <c:v>0.36599999999999999</c:v>
                </c:pt>
                <c:pt idx="62" formatCode="0.000">
                  <c:v>0.35699999999999998</c:v>
                </c:pt>
                <c:pt idx="63" formatCode="0.000">
                  <c:v>0.371</c:v>
                </c:pt>
                <c:pt idx="64" formatCode="0.000">
                  <c:v>0.40899999999999997</c:v>
                </c:pt>
                <c:pt idx="65" formatCode="0.000">
                  <c:v>0.42199999999999999</c:v>
                </c:pt>
                <c:pt idx="66" formatCode="0.000">
                  <c:v>0.437</c:v>
                </c:pt>
                <c:pt idx="67" formatCode="0.000">
                  <c:v>0.433</c:v>
                </c:pt>
                <c:pt idx="68" formatCode="0.000">
                  <c:v>0.438</c:v>
                </c:pt>
                <c:pt idx="69" formatCode="0.000">
                  <c:v>0.443</c:v>
                </c:pt>
                <c:pt idx="70" formatCode="0.000">
                  <c:v>0.41699999999999998</c:v>
                </c:pt>
                <c:pt idx="71" formatCode="0.000">
                  <c:v>0.42099999999999999</c:v>
                </c:pt>
                <c:pt idx="72" formatCode="0.000">
                  <c:v>0.41899999999999998</c:v>
                </c:pt>
                <c:pt idx="73" formatCode="0.000">
                  <c:v>0.42399999999999999</c:v>
                </c:pt>
                <c:pt idx="74" formatCode="0.000">
                  <c:v>0.433</c:v>
                </c:pt>
                <c:pt idx="75" formatCode="0.000">
                  <c:v>0.41799999999999998</c:v>
                </c:pt>
                <c:pt idx="76" formatCode="0.000">
                  <c:v>0.41</c:v>
                </c:pt>
                <c:pt idx="77" formatCode="0.000">
                  <c:v>0.40200000000000002</c:v>
                </c:pt>
                <c:pt idx="78" formatCode="0.000">
                  <c:v>0.39</c:v>
                </c:pt>
                <c:pt idx="79" formatCode="0.000">
                  <c:v>0.378</c:v>
                </c:pt>
                <c:pt idx="80" formatCode="0.000">
                  <c:v>0.35399999999999998</c:v>
                </c:pt>
                <c:pt idx="81" formatCode="0.000">
                  <c:v>0.35499999999999998</c:v>
                </c:pt>
                <c:pt idx="82" formatCode="0.000">
                  <c:v>0.34799999999999998</c:v>
                </c:pt>
                <c:pt idx="83" formatCode="0.000">
                  <c:v>0.33700000000000002</c:v>
                </c:pt>
                <c:pt idx="84" formatCode="0.000">
                  <c:v>0.33600000000000002</c:v>
                </c:pt>
                <c:pt idx="85" formatCode="0.000">
                  <c:v>0.33300000000000002</c:v>
                </c:pt>
                <c:pt idx="86" formatCode="0.000">
                  <c:v>0.32900000000000001</c:v>
                </c:pt>
              </c:numCache>
            </c:numRef>
          </c:val>
          <c:smooth val="0"/>
          <c:extLst>
            <c:ext xmlns:c15="http://schemas.microsoft.com/office/drawing/2012/chart" uri="{02D57815-91ED-43cb-92C2-25804820EDAC}">
              <c15:categoryFilterExceptions>
                <c15:categoryFilterException>
                  <c15:sqref>'6.1'!$D$53</c15:sqref>
                  <c15:dLbl>
                    <c:idx val="-1"/>
                    <c:delete val="1"/>
                    <c:extLst>
                      <c:ext uri="{CE6537A1-D6FC-4f65-9D91-7224C49458BB}"/>
                      <c:ext xmlns:c16="http://schemas.microsoft.com/office/drawing/2014/chart" uri="{C3380CC4-5D6E-409C-BE32-E72D297353CC}">
                        <c16:uniqueId val="{00000018-74D4-4029-A7C0-F442D7EC5A7D}"/>
                      </c:ext>
                    </c:extLst>
                  </c15:dLbl>
                </c15:categoryFilterException>
                <c15:categoryFilterException>
                  <c15:sqref>'6.1'!$D$54</c15:sqref>
                  <c15:dLbl>
                    <c:idx val="-1"/>
                    <c:delete val="1"/>
                    <c:extLst>
                      <c:ext uri="{CE6537A1-D6FC-4f65-9D91-7224C49458BB}"/>
                      <c:ext xmlns:c16="http://schemas.microsoft.com/office/drawing/2014/chart" uri="{C3380CC4-5D6E-409C-BE32-E72D297353CC}">
                        <c16:uniqueId val="{00000019-74D4-4029-A7C0-F442D7EC5A7D}"/>
                      </c:ext>
                    </c:extLst>
                  </c15:dLbl>
                </c15:categoryFilterException>
                <c15:categoryFilterException>
                  <c15:sqref>'6.1'!$D$55</c15:sqref>
                  <c15:dLbl>
                    <c:idx val="-1"/>
                    <c:delete val="1"/>
                    <c:extLst>
                      <c:ext uri="{CE6537A1-D6FC-4f65-9D91-7224C49458BB}"/>
                      <c:ext xmlns:c16="http://schemas.microsoft.com/office/drawing/2014/chart" uri="{C3380CC4-5D6E-409C-BE32-E72D297353CC}">
                        <c16:uniqueId val="{0000001A-74D4-4029-A7C0-F442D7EC5A7D}"/>
                      </c:ext>
                    </c:extLst>
                  </c15:dLbl>
                </c15:categoryFilterException>
                <c15:categoryFilterException>
                  <c15:sqref>'6.1'!$D$56</c15:sqref>
                  <c15:dLbl>
                    <c:idx val="-1"/>
                    <c:delete val="1"/>
                    <c:extLst>
                      <c:ext uri="{CE6537A1-D6FC-4f65-9D91-7224C49458BB}"/>
                      <c:ext xmlns:c16="http://schemas.microsoft.com/office/drawing/2014/chart" uri="{C3380CC4-5D6E-409C-BE32-E72D297353CC}">
                        <c16:uniqueId val="{0000001B-74D4-4029-A7C0-F442D7EC5A7D}"/>
                      </c:ext>
                    </c:extLst>
                  </c15:dLbl>
                </c15:categoryFilterException>
                <c15:categoryFilterException>
                  <c15:sqref>'6.1'!$D$57</c15:sqref>
                  <c15:dLbl>
                    <c:idx val="-1"/>
                    <c:delete val="1"/>
                    <c:extLst>
                      <c:ext uri="{CE6537A1-D6FC-4f65-9D91-7224C49458BB}"/>
                      <c:ext xmlns:c16="http://schemas.microsoft.com/office/drawing/2014/chart" uri="{C3380CC4-5D6E-409C-BE32-E72D297353CC}">
                        <c16:uniqueId val="{0000001C-74D4-4029-A7C0-F442D7EC5A7D}"/>
                      </c:ext>
                    </c:extLst>
                  </c15:dLbl>
                </c15:categoryFilterException>
                <c15:categoryFilterException>
                  <c15:sqref>'6.1'!$D$58</c15:sqref>
                  <c15:dLbl>
                    <c:idx val="-1"/>
                    <c:delete val="1"/>
                    <c:extLst>
                      <c:ext uri="{CE6537A1-D6FC-4f65-9D91-7224C49458BB}"/>
                      <c:ext xmlns:c16="http://schemas.microsoft.com/office/drawing/2014/chart" uri="{C3380CC4-5D6E-409C-BE32-E72D297353CC}">
                        <c16:uniqueId val="{0000001D-74D4-4029-A7C0-F442D7EC5A7D}"/>
                      </c:ext>
                    </c:extLst>
                  </c15:dLbl>
                </c15:categoryFilterException>
                <c15:categoryFilterException>
                  <c15:sqref>'6.1'!$D$59</c15:sqref>
                  <c15:dLbl>
                    <c:idx val="-1"/>
                    <c:delete val="1"/>
                    <c:extLst>
                      <c:ext uri="{CE6537A1-D6FC-4f65-9D91-7224C49458BB}"/>
                      <c:ext xmlns:c16="http://schemas.microsoft.com/office/drawing/2014/chart" uri="{C3380CC4-5D6E-409C-BE32-E72D297353CC}">
                        <c16:uniqueId val="{0000001E-74D4-4029-A7C0-F442D7EC5A7D}"/>
                      </c:ext>
                    </c:extLst>
                  </c15:dLbl>
                </c15:categoryFilterException>
                <c15:categoryFilterException>
                  <c15:sqref>'6.1'!$D$60</c15:sqref>
                  <c15:dLbl>
                    <c:idx val="-1"/>
                    <c:delete val="1"/>
                    <c:extLst>
                      <c:ext uri="{CE6537A1-D6FC-4f65-9D91-7224C49458BB}"/>
                      <c:ext xmlns:c16="http://schemas.microsoft.com/office/drawing/2014/chart" uri="{C3380CC4-5D6E-409C-BE32-E72D297353CC}">
                        <c16:uniqueId val="{0000001F-74D4-4029-A7C0-F442D7EC5A7D}"/>
                      </c:ext>
                    </c:extLst>
                  </c15:dLbl>
                </c15:categoryFilterException>
                <c15:categoryFilterException>
                  <c15:sqref>'6.1'!$D$61</c15:sqref>
                  <c15:dLbl>
                    <c:idx val="-1"/>
                    <c:delete val="1"/>
                    <c:extLst>
                      <c:ext uri="{CE6537A1-D6FC-4f65-9D91-7224C49458BB}"/>
                      <c:ext xmlns:c16="http://schemas.microsoft.com/office/drawing/2014/chart" uri="{C3380CC4-5D6E-409C-BE32-E72D297353CC}">
                        <c16:uniqueId val="{00000020-74D4-4029-A7C0-F442D7EC5A7D}"/>
                      </c:ext>
                    </c:extLst>
                  </c15:dLbl>
                </c15:categoryFilterException>
                <c15:categoryFilterException>
                  <c15:sqref>'6.1'!$D$62</c15:sqref>
                  <c15:dLbl>
                    <c:idx val="-1"/>
                    <c:delete val="1"/>
                    <c:extLst>
                      <c:ext uri="{CE6537A1-D6FC-4f65-9D91-7224C49458BB}"/>
                      <c:ext xmlns:c16="http://schemas.microsoft.com/office/drawing/2014/chart" uri="{C3380CC4-5D6E-409C-BE32-E72D297353CC}">
                        <c16:uniqueId val="{00000021-74D4-4029-A7C0-F442D7EC5A7D}"/>
                      </c:ext>
                    </c:extLst>
                  </c15:dLbl>
                </c15:categoryFilterException>
                <c15:categoryFilterException>
                  <c15:sqref>'6.1'!$D$63</c15:sqref>
                  <c15:dLbl>
                    <c:idx val="-1"/>
                    <c:delete val="1"/>
                    <c:extLst>
                      <c:ext uri="{CE6537A1-D6FC-4f65-9D91-7224C49458BB}"/>
                      <c:ext xmlns:c16="http://schemas.microsoft.com/office/drawing/2014/chart" uri="{C3380CC4-5D6E-409C-BE32-E72D297353CC}">
                        <c16:uniqueId val="{00000022-74D4-4029-A7C0-F442D7EC5A7D}"/>
                      </c:ext>
                    </c:extLst>
                  </c15:dLbl>
                </c15:categoryFilterException>
                <c15:categoryFilterException>
                  <c15:sqref>'6.1'!$D$64</c15:sqref>
                  <c15:dLbl>
                    <c:idx val="-1"/>
                    <c:delete val="1"/>
                    <c:extLst>
                      <c:ext uri="{CE6537A1-D6FC-4f65-9D91-7224C49458BB}"/>
                      <c:ext xmlns:c16="http://schemas.microsoft.com/office/drawing/2014/chart" uri="{C3380CC4-5D6E-409C-BE32-E72D297353CC}">
                        <c16:uniqueId val="{00000023-74D4-4029-A7C0-F442D7EC5A7D}"/>
                      </c:ext>
                    </c:extLst>
                  </c15:dLbl>
                </c15:categoryFilterException>
                <c15:categoryFilterException>
                  <c15:sqref>'6.1'!$D$65</c15:sqref>
                  <c15:dLbl>
                    <c:idx val="-1"/>
                    <c:delete val="1"/>
                    <c:extLst>
                      <c:ext uri="{CE6537A1-D6FC-4f65-9D91-7224C49458BB}"/>
                      <c:ext xmlns:c16="http://schemas.microsoft.com/office/drawing/2014/chart" uri="{C3380CC4-5D6E-409C-BE32-E72D297353CC}">
                        <c16:uniqueId val="{00000024-74D4-4029-A7C0-F442D7EC5A7D}"/>
                      </c:ext>
                    </c:extLst>
                  </c15:dLbl>
                </c15:categoryFilterException>
                <c15:categoryFilterException>
                  <c15:sqref>'6.1'!$D$66</c15:sqref>
                  <c15:dLbl>
                    <c:idx val="-1"/>
                    <c:delete val="1"/>
                    <c:extLst>
                      <c:ext uri="{CE6537A1-D6FC-4f65-9D91-7224C49458BB}"/>
                      <c:ext xmlns:c16="http://schemas.microsoft.com/office/drawing/2014/chart" uri="{C3380CC4-5D6E-409C-BE32-E72D297353CC}">
                        <c16:uniqueId val="{00000025-74D4-4029-A7C0-F442D7EC5A7D}"/>
                      </c:ext>
                    </c:extLst>
                  </c15:dLbl>
                </c15:categoryFilterException>
                <c15:categoryFilterException>
                  <c15:sqref>'6.1'!$D$67</c15:sqref>
                  <c15:dLbl>
                    <c:idx val="-1"/>
                    <c:delete val="1"/>
                    <c:extLst>
                      <c:ext uri="{CE6537A1-D6FC-4f65-9D91-7224C49458BB}"/>
                      <c:ext xmlns:c16="http://schemas.microsoft.com/office/drawing/2014/chart" uri="{C3380CC4-5D6E-409C-BE32-E72D297353CC}">
                        <c16:uniqueId val="{00000026-74D4-4029-A7C0-F442D7EC5A7D}"/>
                      </c:ext>
                    </c:extLst>
                  </c15:dLbl>
                </c15:categoryFilterException>
                <c15:categoryFilterException>
                  <c15:sqref>'6.1'!$D$68</c15:sqref>
                  <c15:dLbl>
                    <c:idx val="-1"/>
                    <c:delete val="1"/>
                    <c:extLst>
                      <c:ext uri="{CE6537A1-D6FC-4f65-9D91-7224C49458BB}"/>
                      <c:ext xmlns:c16="http://schemas.microsoft.com/office/drawing/2014/chart" uri="{C3380CC4-5D6E-409C-BE32-E72D297353CC}">
                        <c16:uniqueId val="{00000027-74D4-4029-A7C0-F442D7EC5A7D}"/>
                      </c:ext>
                    </c:extLst>
                  </c15:dLbl>
                </c15:categoryFilterException>
                <c15:categoryFilterException>
                  <c15:sqref>'6.1'!$D$69</c15:sqref>
                  <c15:dLbl>
                    <c:idx val="-1"/>
                    <c:delete val="1"/>
                    <c:extLst>
                      <c:ext uri="{CE6537A1-D6FC-4f65-9D91-7224C49458BB}"/>
                      <c:ext xmlns:c16="http://schemas.microsoft.com/office/drawing/2014/chart" uri="{C3380CC4-5D6E-409C-BE32-E72D297353CC}">
                        <c16:uniqueId val="{00000028-74D4-4029-A7C0-F442D7EC5A7D}"/>
                      </c:ext>
                    </c:extLst>
                  </c15:dLbl>
                </c15:categoryFilterException>
                <c15:categoryFilterException>
                  <c15:sqref>'6.1'!$D$70</c15:sqref>
                  <c15:dLbl>
                    <c:idx val="-1"/>
                    <c:delete val="1"/>
                    <c:extLst>
                      <c:ext uri="{CE6537A1-D6FC-4f65-9D91-7224C49458BB}"/>
                      <c:ext xmlns:c16="http://schemas.microsoft.com/office/drawing/2014/chart" uri="{C3380CC4-5D6E-409C-BE32-E72D297353CC}">
                        <c16:uniqueId val="{00000029-74D4-4029-A7C0-F442D7EC5A7D}"/>
                      </c:ext>
                    </c:extLst>
                  </c15:dLbl>
                </c15:categoryFilterException>
                <c15:categoryFilterException>
                  <c15:sqref>'6.1'!$D$71</c15:sqref>
                  <c15:dLbl>
                    <c:idx val="-1"/>
                    <c:delete val="1"/>
                    <c:extLst>
                      <c:ext uri="{CE6537A1-D6FC-4f65-9D91-7224C49458BB}"/>
                      <c:ext xmlns:c16="http://schemas.microsoft.com/office/drawing/2014/chart" uri="{C3380CC4-5D6E-409C-BE32-E72D297353CC}">
                        <c16:uniqueId val="{0000002A-74D4-4029-A7C0-F442D7EC5A7D}"/>
                      </c:ext>
                    </c:extLst>
                  </c15:dLbl>
                </c15:categoryFilterException>
                <c15:categoryFilterException>
                  <c15:sqref>'6.1'!$D$72</c15:sqref>
                  <c15:dLbl>
                    <c:idx val="-1"/>
                    <c:delete val="1"/>
                    <c:extLst>
                      <c:ext uri="{CE6537A1-D6FC-4f65-9D91-7224C49458BB}"/>
                      <c:ext xmlns:c16="http://schemas.microsoft.com/office/drawing/2014/chart" uri="{C3380CC4-5D6E-409C-BE32-E72D297353CC}">
                        <c16:uniqueId val="{0000002B-74D4-4029-A7C0-F442D7EC5A7D}"/>
                      </c:ext>
                    </c:extLst>
                  </c15:dLbl>
                </c15:categoryFilterException>
                <c15:categoryFilterException>
                  <c15:sqref>'6.1'!$D$73</c15:sqref>
                  <c15:dLbl>
                    <c:idx val="-1"/>
                    <c:delete val="1"/>
                    <c:extLst>
                      <c:ext uri="{CE6537A1-D6FC-4f65-9D91-7224C49458BB}"/>
                      <c:ext xmlns:c16="http://schemas.microsoft.com/office/drawing/2014/chart" uri="{C3380CC4-5D6E-409C-BE32-E72D297353CC}">
                        <c16:uniqueId val="{0000002C-74D4-4029-A7C0-F442D7EC5A7D}"/>
                      </c:ext>
                    </c:extLst>
                  </c15:dLbl>
                </c15:categoryFilterException>
                <c15:categoryFilterException>
                  <c15:sqref>'6.1'!$D$74</c15:sqref>
                  <c15:dLbl>
                    <c:idx val="-1"/>
                    <c:delete val="1"/>
                    <c:extLst>
                      <c:ext uri="{CE6537A1-D6FC-4f65-9D91-7224C49458BB}"/>
                      <c:ext xmlns:c16="http://schemas.microsoft.com/office/drawing/2014/chart" uri="{C3380CC4-5D6E-409C-BE32-E72D297353CC}">
                        <c16:uniqueId val="{0000002D-74D4-4029-A7C0-F442D7EC5A7D}"/>
                      </c:ext>
                    </c:extLst>
                  </c15:dLbl>
                </c15:categoryFilterException>
                <c15:categoryFilterException>
                  <c15:sqref>'6.1'!$D$75</c15:sqref>
                  <c15:dLbl>
                    <c:idx val="-1"/>
                    <c:delete val="1"/>
                    <c:extLst>
                      <c:ext uri="{CE6537A1-D6FC-4f65-9D91-7224C49458BB}"/>
                      <c:ext xmlns:c16="http://schemas.microsoft.com/office/drawing/2014/chart" uri="{C3380CC4-5D6E-409C-BE32-E72D297353CC}">
                        <c16:uniqueId val="{0000002E-74D4-4029-A7C0-F442D7EC5A7D}"/>
                      </c:ext>
                    </c:extLst>
                  </c15:dLbl>
                </c15:categoryFilterException>
                <c15:categoryFilterException>
                  <c15:sqref>'6.1'!$D$76</c15:sqref>
                  <c15:dLbl>
                    <c:idx val="-1"/>
                    <c:delete val="1"/>
                    <c:extLst>
                      <c:ext uri="{CE6537A1-D6FC-4f65-9D91-7224C49458BB}"/>
                      <c:ext xmlns:c16="http://schemas.microsoft.com/office/drawing/2014/chart" uri="{C3380CC4-5D6E-409C-BE32-E72D297353CC}">
                        <c16:uniqueId val="{0000002F-74D4-4029-A7C0-F442D7EC5A7D}"/>
                      </c:ext>
                    </c:extLst>
                  </c15:dLbl>
                </c15:categoryFilterException>
                <c15:categoryFilterException>
                  <c15:sqref>'6.1'!$D$77</c15:sqref>
                  <c15:dLbl>
                    <c:idx val="-1"/>
                    <c:delete val="1"/>
                    <c:extLst>
                      <c:ext uri="{CE6537A1-D6FC-4f65-9D91-7224C49458BB}"/>
                      <c:ext xmlns:c16="http://schemas.microsoft.com/office/drawing/2014/chart" uri="{C3380CC4-5D6E-409C-BE32-E72D297353CC}">
                        <c16:uniqueId val="{00000030-74D4-4029-A7C0-F442D7EC5A7D}"/>
                      </c:ext>
                    </c:extLst>
                  </c15:dLbl>
                </c15:categoryFilterException>
                <c15:categoryFilterException>
                  <c15:sqref>'6.1'!$D$78</c15:sqref>
                  <c15:dLbl>
                    <c:idx val="-1"/>
                    <c:delete val="1"/>
                    <c:extLst>
                      <c:ext uri="{CE6537A1-D6FC-4f65-9D91-7224C49458BB}"/>
                      <c:ext xmlns:c16="http://schemas.microsoft.com/office/drawing/2014/chart" uri="{C3380CC4-5D6E-409C-BE32-E72D297353CC}">
                        <c16:uniqueId val="{00000031-74D4-4029-A7C0-F442D7EC5A7D}"/>
                      </c:ext>
                    </c:extLst>
                  </c15:dLbl>
                </c15:categoryFilterException>
                <c15:categoryFilterException>
                  <c15:sqref>'6.1'!$D$79</c15:sqref>
                  <c15:dLbl>
                    <c:idx val="-1"/>
                    <c:delete val="1"/>
                    <c:extLst>
                      <c:ext uri="{CE6537A1-D6FC-4f65-9D91-7224C49458BB}"/>
                      <c:ext xmlns:c16="http://schemas.microsoft.com/office/drawing/2014/chart" uri="{C3380CC4-5D6E-409C-BE32-E72D297353CC}">
                        <c16:uniqueId val="{00000032-74D4-4029-A7C0-F442D7EC5A7D}"/>
                      </c:ext>
                    </c:extLst>
                  </c15:dLbl>
                </c15:categoryFilterException>
                <c15:categoryFilterException>
                  <c15:sqref>'6.1'!$D$80</c15:sqref>
                  <c15:dLbl>
                    <c:idx val="-1"/>
                    <c:delete val="1"/>
                    <c:extLst>
                      <c:ext uri="{CE6537A1-D6FC-4f65-9D91-7224C49458BB}"/>
                      <c:ext xmlns:c16="http://schemas.microsoft.com/office/drawing/2014/chart" uri="{C3380CC4-5D6E-409C-BE32-E72D297353CC}">
                        <c16:uniqueId val="{00000033-74D4-4029-A7C0-F442D7EC5A7D}"/>
                      </c:ext>
                    </c:extLst>
                  </c15:dLbl>
                </c15:categoryFilterException>
                <c15:categoryFilterException>
                  <c15:sqref>'6.1'!$D$81</c15:sqref>
                  <c15:dLbl>
                    <c:idx val="-1"/>
                    <c:delete val="1"/>
                    <c:extLst>
                      <c:ext uri="{CE6537A1-D6FC-4f65-9D91-7224C49458BB}"/>
                      <c:ext xmlns:c16="http://schemas.microsoft.com/office/drawing/2014/chart" uri="{C3380CC4-5D6E-409C-BE32-E72D297353CC}">
                        <c16:uniqueId val="{00000034-74D4-4029-A7C0-F442D7EC5A7D}"/>
                      </c:ext>
                    </c:extLst>
                  </c15:dLbl>
                </c15:categoryFilterException>
                <c15:categoryFilterException>
                  <c15:sqref>'6.1'!$D$82</c15:sqref>
                  <c15:dLbl>
                    <c:idx val="-1"/>
                    <c:delete val="1"/>
                    <c:extLst>
                      <c:ext uri="{CE6537A1-D6FC-4f65-9D91-7224C49458BB}"/>
                      <c:ext xmlns:c16="http://schemas.microsoft.com/office/drawing/2014/chart" uri="{C3380CC4-5D6E-409C-BE32-E72D297353CC}">
                        <c16:uniqueId val="{00000035-74D4-4029-A7C0-F442D7EC5A7D}"/>
                      </c:ext>
                    </c:extLst>
                  </c15:dLbl>
                </c15:categoryFilterException>
                <c15:categoryFilterException>
                  <c15:sqref>'6.1'!$D$83</c15:sqref>
                  <c15:dLbl>
                    <c:idx val="-1"/>
                    <c:delete val="1"/>
                    <c:extLst>
                      <c:ext uri="{CE6537A1-D6FC-4f65-9D91-7224C49458BB}"/>
                      <c:ext xmlns:c16="http://schemas.microsoft.com/office/drawing/2014/chart" uri="{C3380CC4-5D6E-409C-BE32-E72D297353CC}">
                        <c16:uniqueId val="{00000036-74D4-4029-A7C0-F442D7EC5A7D}"/>
                      </c:ext>
                    </c:extLst>
                  </c15:dLbl>
                </c15:categoryFilterException>
                <c15:categoryFilterException>
                  <c15:sqref>'6.1'!$D$84</c15:sqref>
                  <c15:dLbl>
                    <c:idx val="-1"/>
                    <c:delete val="1"/>
                    <c:extLst>
                      <c:ext uri="{CE6537A1-D6FC-4f65-9D91-7224C49458BB}"/>
                      <c:ext xmlns:c16="http://schemas.microsoft.com/office/drawing/2014/chart" uri="{C3380CC4-5D6E-409C-BE32-E72D297353CC}">
                        <c16:uniqueId val="{00000037-74D4-4029-A7C0-F442D7EC5A7D}"/>
                      </c:ext>
                    </c:extLst>
                  </c15:dLbl>
                </c15:categoryFilterException>
                <c15:categoryFilterException>
                  <c15:sqref>'6.1'!$D$85</c15:sqref>
                  <c15:dLbl>
                    <c:idx val="-1"/>
                    <c:delete val="1"/>
                    <c:extLst>
                      <c:ext uri="{CE6537A1-D6FC-4f65-9D91-7224C49458BB}"/>
                      <c:ext xmlns:c16="http://schemas.microsoft.com/office/drawing/2014/chart" uri="{C3380CC4-5D6E-409C-BE32-E72D297353CC}">
                        <c16:uniqueId val="{00000038-74D4-4029-A7C0-F442D7EC5A7D}"/>
                      </c:ext>
                    </c:extLst>
                  </c15:dLbl>
                </c15:categoryFilterException>
                <c15:categoryFilterException>
                  <c15:sqref>'6.1'!$D$86</c15:sqref>
                  <c15:dLbl>
                    <c:idx val="-1"/>
                    <c:delete val="1"/>
                    <c:extLst>
                      <c:ext uri="{CE6537A1-D6FC-4f65-9D91-7224C49458BB}"/>
                      <c:ext xmlns:c16="http://schemas.microsoft.com/office/drawing/2014/chart" uri="{C3380CC4-5D6E-409C-BE32-E72D297353CC}">
                        <c16:uniqueId val="{00000039-74D4-4029-A7C0-F442D7EC5A7D}"/>
                      </c:ext>
                    </c:extLst>
                  </c15:dLbl>
                </c15:categoryFilterException>
                <c15:categoryFilterException>
                  <c15:sqref>'6.1'!$D$87</c15:sqref>
                  <c15:dLbl>
                    <c:idx val="-1"/>
                    <c:delete val="1"/>
                    <c:extLst>
                      <c:ext uri="{CE6537A1-D6FC-4f65-9D91-7224C49458BB}"/>
                      <c:ext xmlns:c16="http://schemas.microsoft.com/office/drawing/2014/chart" uri="{C3380CC4-5D6E-409C-BE32-E72D297353CC}">
                        <c16:uniqueId val="{0000003A-74D4-4029-A7C0-F442D7EC5A7D}"/>
                      </c:ext>
                    </c:extLst>
                  </c15:dLbl>
                </c15:categoryFilterException>
                <c15:categoryFilterException>
                  <c15:sqref>'6.1'!$D$88</c15:sqref>
                  <c15:dLbl>
                    <c:idx val="-1"/>
                    <c:delete val="1"/>
                    <c:extLst>
                      <c:ext uri="{CE6537A1-D6FC-4f65-9D91-7224C49458BB}"/>
                      <c:ext xmlns:c16="http://schemas.microsoft.com/office/drawing/2014/chart" uri="{C3380CC4-5D6E-409C-BE32-E72D297353CC}">
                        <c16:uniqueId val="{0000003B-74D4-4029-A7C0-F442D7EC5A7D}"/>
                      </c:ext>
                    </c:extLst>
                  </c15:dLbl>
                </c15:categoryFilterException>
                <c15:categoryFilterException>
                  <c15:sqref>'6.1'!$D$89</c15:sqref>
                  <c15:dLbl>
                    <c:idx val="-1"/>
                    <c:delete val="1"/>
                    <c:extLst>
                      <c:ext uri="{CE6537A1-D6FC-4f65-9D91-7224C49458BB}"/>
                      <c:ext xmlns:c16="http://schemas.microsoft.com/office/drawing/2014/chart" uri="{C3380CC4-5D6E-409C-BE32-E72D297353CC}">
                        <c16:uniqueId val="{0000003C-74D4-4029-A7C0-F442D7EC5A7D}"/>
                      </c:ext>
                    </c:extLst>
                  </c15:dLbl>
                </c15:categoryFilterException>
                <c15:categoryFilterException>
                  <c15:sqref>'6.1'!$D$90</c15:sqref>
                  <c15:dLbl>
                    <c:idx val="-1"/>
                    <c:delete val="1"/>
                    <c:extLst>
                      <c:ext uri="{CE6537A1-D6FC-4f65-9D91-7224C49458BB}"/>
                      <c:ext xmlns:c16="http://schemas.microsoft.com/office/drawing/2014/chart" uri="{C3380CC4-5D6E-409C-BE32-E72D297353CC}">
                        <c16:uniqueId val="{0000003D-74D4-4029-A7C0-F442D7EC5A7D}"/>
                      </c:ext>
                    </c:extLst>
                  </c15:dLbl>
                </c15:categoryFilterException>
                <c15:categoryFilterException>
                  <c15:sqref>'6.1'!$D$91</c15:sqref>
                  <c15:dLbl>
                    <c:idx val="-1"/>
                    <c:delete val="1"/>
                    <c:extLst>
                      <c:ext uri="{CE6537A1-D6FC-4f65-9D91-7224C49458BB}"/>
                      <c:ext xmlns:c16="http://schemas.microsoft.com/office/drawing/2014/chart" uri="{C3380CC4-5D6E-409C-BE32-E72D297353CC}">
                        <c16:uniqueId val="{0000003E-74D4-4029-A7C0-F442D7EC5A7D}"/>
                      </c:ext>
                    </c:extLst>
                  </c15:dLbl>
                </c15:categoryFilterException>
                <c15:categoryFilterException>
                  <c15:sqref>'6.1'!$D$92</c15:sqref>
                  <c15:dLbl>
                    <c:idx val="-1"/>
                    <c:delete val="1"/>
                    <c:extLst>
                      <c:ext uri="{CE6537A1-D6FC-4f65-9D91-7224C49458BB}"/>
                      <c:ext xmlns:c16="http://schemas.microsoft.com/office/drawing/2014/chart" uri="{C3380CC4-5D6E-409C-BE32-E72D297353CC}">
                        <c16:uniqueId val="{0000003F-74D4-4029-A7C0-F442D7EC5A7D}"/>
                      </c:ext>
                    </c:extLst>
                  </c15:dLbl>
                </c15:categoryFilterException>
                <c15:categoryFilterException>
                  <c15:sqref>'6.1'!$D$93</c15:sqref>
                  <c15:dLbl>
                    <c:idx val="-1"/>
                    <c:delete val="1"/>
                    <c:extLst>
                      <c:ext uri="{CE6537A1-D6FC-4f65-9D91-7224C49458BB}"/>
                      <c:ext xmlns:c16="http://schemas.microsoft.com/office/drawing/2014/chart" uri="{C3380CC4-5D6E-409C-BE32-E72D297353CC}">
                        <c16:uniqueId val="{00000040-74D4-4029-A7C0-F442D7EC5A7D}"/>
                      </c:ext>
                    </c:extLst>
                  </c15:dLbl>
                </c15:categoryFilterException>
                <c15:categoryFilterException>
                  <c15:sqref>'6.1'!$D$94</c15:sqref>
                  <c15:dLbl>
                    <c:idx val="-1"/>
                    <c:delete val="1"/>
                    <c:extLst>
                      <c:ext uri="{CE6537A1-D6FC-4f65-9D91-7224C49458BB}"/>
                      <c:ext xmlns:c16="http://schemas.microsoft.com/office/drawing/2014/chart" uri="{C3380CC4-5D6E-409C-BE32-E72D297353CC}">
                        <c16:uniqueId val="{00000041-74D4-4029-A7C0-F442D7EC5A7D}"/>
                      </c:ext>
                    </c:extLst>
                  </c15:dLbl>
                </c15:categoryFilterException>
                <c15:categoryFilterException>
                  <c15:sqref>'6.1'!$D$95</c15:sqref>
                  <c15:dLbl>
                    <c:idx val="-1"/>
                    <c:delete val="1"/>
                    <c:extLst>
                      <c:ext uri="{CE6537A1-D6FC-4f65-9D91-7224C49458BB}"/>
                      <c:ext xmlns:c16="http://schemas.microsoft.com/office/drawing/2014/chart" uri="{C3380CC4-5D6E-409C-BE32-E72D297353CC}">
                        <c16:uniqueId val="{00000042-74D4-4029-A7C0-F442D7EC5A7D}"/>
                      </c:ext>
                    </c:extLst>
                  </c15:dLbl>
                </c15:categoryFilterException>
                <c15:categoryFilterException>
                  <c15:sqref>'6.1'!$D$96</c15:sqref>
                  <c15:dLbl>
                    <c:idx val="-1"/>
                    <c:delete val="1"/>
                    <c:extLst>
                      <c:ext uri="{CE6537A1-D6FC-4f65-9D91-7224C49458BB}"/>
                      <c:ext xmlns:c16="http://schemas.microsoft.com/office/drawing/2014/chart" uri="{C3380CC4-5D6E-409C-BE32-E72D297353CC}">
                        <c16:uniqueId val="{00000043-74D4-4029-A7C0-F442D7EC5A7D}"/>
                      </c:ext>
                    </c:extLst>
                  </c15:dLbl>
                </c15:categoryFilterException>
                <c15:categoryFilterException>
                  <c15:sqref>'6.1'!$D$97</c15:sqref>
                  <c15:dLbl>
                    <c:idx val="-1"/>
                    <c:delete val="1"/>
                    <c:extLst>
                      <c:ext uri="{CE6537A1-D6FC-4f65-9D91-7224C49458BB}"/>
                      <c:ext xmlns:c16="http://schemas.microsoft.com/office/drawing/2014/chart" uri="{C3380CC4-5D6E-409C-BE32-E72D297353CC}">
                        <c16:uniqueId val="{00000044-74D4-4029-A7C0-F442D7EC5A7D}"/>
                      </c:ext>
                    </c:extLst>
                  </c15:dLbl>
                </c15:categoryFilterException>
                <c15:categoryFilterException>
                  <c15:sqref>'6.1'!$D$98</c15:sqref>
                  <c15:dLbl>
                    <c:idx val="-1"/>
                    <c:delete val="1"/>
                    <c:extLst>
                      <c:ext uri="{CE6537A1-D6FC-4f65-9D91-7224C49458BB}"/>
                      <c:ext xmlns:c16="http://schemas.microsoft.com/office/drawing/2014/chart" uri="{C3380CC4-5D6E-409C-BE32-E72D297353CC}">
                        <c16:uniqueId val="{00000045-74D4-4029-A7C0-F442D7EC5A7D}"/>
                      </c:ext>
                    </c:extLst>
                  </c15:dLbl>
                </c15:categoryFilterException>
                <c15:categoryFilterException>
                  <c15:sqref>'6.1'!$D$99</c15:sqref>
                  <c15:dLbl>
                    <c:idx val="-1"/>
                    <c:delete val="1"/>
                    <c:extLst>
                      <c:ext uri="{CE6537A1-D6FC-4f65-9D91-7224C49458BB}"/>
                      <c:ext xmlns:c16="http://schemas.microsoft.com/office/drawing/2014/chart" uri="{C3380CC4-5D6E-409C-BE32-E72D297353CC}">
                        <c16:uniqueId val="{00000046-74D4-4029-A7C0-F442D7EC5A7D}"/>
                      </c:ext>
                    </c:extLst>
                  </c15:dLbl>
                </c15:categoryFilterException>
                <c15:categoryFilterException>
                  <c15:sqref>'6.1'!$D$100</c15:sqref>
                  <c15:dLbl>
                    <c:idx val="-1"/>
                    <c:delete val="1"/>
                    <c:extLst>
                      <c:ext uri="{CE6537A1-D6FC-4f65-9D91-7224C49458BB}"/>
                      <c:ext xmlns:c16="http://schemas.microsoft.com/office/drawing/2014/chart" uri="{C3380CC4-5D6E-409C-BE32-E72D297353CC}">
                        <c16:uniqueId val="{00000047-74D4-4029-A7C0-F442D7EC5A7D}"/>
                      </c:ext>
                    </c:extLst>
                  </c15:dLbl>
                </c15:categoryFilterException>
              </c15:categoryFilterExceptions>
            </c:ext>
            <c:ext xmlns:c16="http://schemas.microsoft.com/office/drawing/2014/chart" uri="{C3380CC4-5D6E-409C-BE32-E72D297353CC}">
              <c16:uniqueId val="{0000008D-671E-48EB-9C93-9A03351AE2D8}"/>
            </c:ext>
          </c:extLst>
        </c:ser>
        <c:ser>
          <c:idx val="2"/>
          <c:order val="2"/>
          <c:tx>
            <c:strRef>
              <c:f>'6.1'!$E$3</c:f>
              <c:strCache>
                <c:ptCount val="1"/>
                <c:pt idx="0">
                  <c:v>Average Deposit Rate 
12 Months</c:v>
                </c:pt>
              </c:strCache>
            </c:strRef>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A6-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A7-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A8-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A9-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AA-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AB-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AC-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AD-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AE-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AF-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B0-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B1-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B2-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B3-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B4-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B5-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B6-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B7-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B8-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B9-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BA-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BB-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BC-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BD-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BE-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BF-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C0-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C1-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C2-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C3-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C4-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C5-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C6-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C7-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C8-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C9-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CA-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CB-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CC-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CD-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CE-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CF-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D0-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D1-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D2-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D3-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2-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0-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0-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2-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2-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2-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0-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1-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1-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0-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0-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2-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1-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9-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2-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1-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3-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6-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8-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7-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2-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0-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1-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2-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0-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1-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1-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0-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2-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0-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1-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2-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8-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9-1978-4EA1-8AE3-2DDA32721E51}"/>
                </c:ext>
              </c:extLst>
            </c:dLbl>
            <c:dLbl>
              <c:idx val="80"/>
              <c:delete val="1"/>
              <c:extLst>
                <c:ext xmlns:c15="http://schemas.microsoft.com/office/drawing/2012/chart" uri="{CE6537A1-D6FC-4f65-9D91-7224C49458BB}"/>
                <c:ext xmlns:c16="http://schemas.microsoft.com/office/drawing/2014/chart" uri="{C3380CC4-5D6E-409C-BE32-E72D297353CC}">
                  <c16:uniqueId val="{0000007A-1978-4EA1-8AE3-2DDA32721E51}"/>
                </c:ext>
              </c:extLst>
            </c:dLbl>
            <c:dLbl>
              <c:idx val="81"/>
              <c:delete val="1"/>
              <c:extLst>
                <c:ext xmlns:c15="http://schemas.microsoft.com/office/drawing/2012/chart" uri="{CE6537A1-D6FC-4f65-9D91-7224C49458BB}"/>
                <c:ext xmlns:c16="http://schemas.microsoft.com/office/drawing/2014/chart" uri="{C3380CC4-5D6E-409C-BE32-E72D297353CC}">
                  <c16:uniqueId val="{0000007E-DFF8-4DFB-AAEB-7CDCBFD32B19}"/>
                </c:ext>
              </c:extLst>
            </c:dLbl>
            <c:dLbl>
              <c:idx val="82"/>
              <c:delete val="1"/>
              <c:extLst>
                <c:ext xmlns:c15="http://schemas.microsoft.com/office/drawing/2012/chart" uri="{CE6537A1-D6FC-4f65-9D91-7224C49458BB}"/>
                <c:ext xmlns:c16="http://schemas.microsoft.com/office/drawing/2014/chart" uri="{C3380CC4-5D6E-409C-BE32-E72D297353CC}">
                  <c16:uniqueId val="{00000080-DFF8-4DFB-AAEB-7CDCBFD32B19}"/>
                </c:ext>
              </c:extLst>
            </c:dLbl>
            <c:dLbl>
              <c:idx val="83"/>
              <c:delete val="1"/>
              <c:extLst>
                <c:ext xmlns:c15="http://schemas.microsoft.com/office/drawing/2012/chart" uri="{CE6537A1-D6FC-4f65-9D91-7224C49458BB}"/>
                <c:ext xmlns:c16="http://schemas.microsoft.com/office/drawing/2014/chart" uri="{C3380CC4-5D6E-409C-BE32-E72D297353CC}">
                  <c16:uniqueId val="{0000007F-DFF8-4DFB-AAEB-7CDCBFD32B19}"/>
                </c:ext>
              </c:extLst>
            </c:dLbl>
            <c:dLbl>
              <c:idx val="84"/>
              <c:delete val="1"/>
              <c:extLst>
                <c:ext xmlns:c15="http://schemas.microsoft.com/office/drawing/2012/chart" uri="{CE6537A1-D6FC-4f65-9D91-7224C49458BB}"/>
                <c:ext xmlns:c16="http://schemas.microsoft.com/office/drawing/2014/chart" uri="{C3380CC4-5D6E-409C-BE32-E72D297353CC}">
                  <c16:uniqueId val="{00000078-E22D-4968-B277-C66C2064008D}"/>
                </c:ext>
              </c:extLst>
            </c:dLbl>
            <c:dLbl>
              <c:idx val="85"/>
              <c:delete val="1"/>
              <c:extLst>
                <c:ext xmlns:c15="http://schemas.microsoft.com/office/drawing/2012/chart" uri="{CE6537A1-D6FC-4f65-9D91-7224C49458BB}"/>
                <c:ext xmlns:c16="http://schemas.microsoft.com/office/drawing/2014/chart" uri="{C3380CC4-5D6E-409C-BE32-E72D297353CC}">
                  <c16:uniqueId val="{00000079-E22D-4968-B277-C66C2064008D}"/>
                </c:ext>
              </c:extLst>
            </c:dLbl>
            <c:dLbl>
              <c:idx val="86"/>
              <c:layout>
                <c:manualLayout>
                  <c:x val="-2.8347996089931573E-2"/>
                  <c:y val="1.02222222222221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A-E22D-4968-B277-C66C2064008D}"/>
                </c:ext>
              </c:extLst>
            </c:dLbl>
            <c:spPr>
              <a:noFill/>
              <a:ln>
                <a:noFill/>
              </a:ln>
              <a:effectLst/>
            </c:spPr>
            <c:txPr>
              <a:bodyPr wrap="square" lIns="38100" tIns="19050" rIns="38100" bIns="19050" anchor="ctr">
                <a:spAutoFit/>
              </a:bodyPr>
              <a:lstStyle/>
              <a:p>
                <a:pPr>
                  <a:defRPr sz="1200" b="1" baseline="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'6.1'!$A$29:$B$187</c15:sqref>
                  </c15:fullRef>
                </c:ext>
              </c:extLst>
              <c:f>'6.1'!$A$101:$B$187</c:f>
              <c:multiLvlStrCache>
                <c:ptCount val="8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pt idx="81">
                    <c:v>Oct</c:v>
                  </c:pt>
                  <c:pt idx="82">
                    <c:v>Nov</c:v>
                  </c:pt>
                  <c:pt idx="83">
                    <c:v>Dec</c:v>
                  </c:pt>
                  <c:pt idx="84">
                    <c:v>Jan</c:v>
                  </c:pt>
                  <c:pt idx="85">
                    <c:v>Feb</c:v>
                  </c:pt>
                  <c:pt idx="86">
                    <c:v>Mar</c:v>
                  </c:pt>
                </c:lvl>
                <c:lvl>
                  <c:pt idx="0">
                    <c:v>2019</c:v>
                  </c:pt>
                  <c:pt idx="12">
                    <c:v>2020</c:v>
                  </c:pt>
                  <c:pt idx="24">
                    <c:v>2021</c:v>
                  </c:pt>
                  <c:pt idx="36">
                    <c:v>2022</c:v>
                  </c:pt>
                  <c:pt idx="48">
                    <c:v>2023</c:v>
                  </c:pt>
                  <c:pt idx="60">
                    <c:v>2024</c:v>
                  </c:pt>
                  <c:pt idx="72">
                    <c:v>2025</c:v>
                  </c:pt>
                  <c:pt idx="84">
                    <c:v>2026</c:v>
                  </c:pt>
                </c:lvl>
              </c:multiLvlStrCache>
            </c:multiLvlStrRef>
          </c:cat>
          <c:val>
            <c:numRef>
              <c:extLst>
                <c:ext xmlns:c15="http://schemas.microsoft.com/office/drawing/2012/chart" uri="{02D57815-91ED-43cb-92C2-25804820EDAC}">
                  <c15:fullRef>
                    <c15:sqref>'6.1'!$E$29:$E$187</c15:sqref>
                  </c15:fullRef>
                </c:ext>
              </c:extLst>
              <c:f>'6.1'!$E$101:$E$187</c:f>
              <c:numCache>
                <c:formatCode>#,##0.000</c:formatCode>
                <c:ptCount val="87"/>
                <c:pt idx="0" formatCode="0.000">
                  <c:v>0.77600000000000002</c:v>
                </c:pt>
                <c:pt idx="1" formatCode="0.000">
                  <c:v>0.79700000000000004</c:v>
                </c:pt>
                <c:pt idx="2" formatCode="0.000">
                  <c:v>0.79700000000000004</c:v>
                </c:pt>
                <c:pt idx="3" formatCode="0.000">
                  <c:v>0.80700000000000005</c:v>
                </c:pt>
                <c:pt idx="4" formatCode="0.000">
                  <c:v>0.80900000000000005</c:v>
                </c:pt>
                <c:pt idx="5" formatCode="0.000">
                  <c:v>0.81200000000000006</c:v>
                </c:pt>
                <c:pt idx="6" formatCode="0.000">
                  <c:v>0.81299999999999994</c:v>
                </c:pt>
                <c:pt idx="7" formatCode="0.000">
                  <c:v>0.81299999999999994</c:v>
                </c:pt>
                <c:pt idx="8" formatCode="0.000">
                  <c:v>0.80500000000000005</c:v>
                </c:pt>
                <c:pt idx="9" formatCode="0.000">
                  <c:v>0.80500000000000005</c:v>
                </c:pt>
                <c:pt idx="10" formatCode="0.000">
                  <c:v>0.80300000000000005</c:v>
                </c:pt>
                <c:pt idx="11" formatCode="0.000">
                  <c:v>0.79800000000000004</c:v>
                </c:pt>
                <c:pt idx="12" formatCode="0.000">
                  <c:v>0.79500000000000004</c:v>
                </c:pt>
                <c:pt idx="13" formatCode="0.000">
                  <c:v>0.78100000000000003</c:v>
                </c:pt>
                <c:pt idx="14" formatCode="0.000">
                  <c:v>0.77100000000000002</c:v>
                </c:pt>
                <c:pt idx="15" formatCode="0.000">
                  <c:v>0.62</c:v>
                </c:pt>
                <c:pt idx="16" formatCode="0.000">
                  <c:v>0.51</c:v>
                </c:pt>
                <c:pt idx="17" formatCode="0.000">
                  <c:v>0.47199999999999998</c:v>
                </c:pt>
                <c:pt idx="18" formatCode="0.000">
                  <c:v>0.40400000000000003</c:v>
                </c:pt>
                <c:pt idx="19" formatCode="0.000">
                  <c:v>0.41299999999999998</c:v>
                </c:pt>
                <c:pt idx="20" formatCode="0.000">
                  <c:v>0.313</c:v>
                </c:pt>
                <c:pt idx="21" formatCode="0.000">
                  <c:v>0.309</c:v>
                </c:pt>
                <c:pt idx="22" formatCode="0.000">
                  <c:v>0.30199999999999999</c:v>
                </c:pt>
                <c:pt idx="23" formatCode="0.000">
                  <c:v>0.29399999999999998</c:v>
                </c:pt>
                <c:pt idx="24" formatCode="0.000">
                  <c:v>0.28499999999999998</c:v>
                </c:pt>
                <c:pt idx="25" formatCode="0.000">
                  <c:v>0.27300000000000002</c:v>
                </c:pt>
                <c:pt idx="26" formatCode="0.000">
                  <c:v>0.25</c:v>
                </c:pt>
                <c:pt idx="27" formatCode="0.000">
                  <c:v>0.246</c:v>
                </c:pt>
                <c:pt idx="28" formatCode="0.000">
                  <c:v>0.24199999999999999</c:v>
                </c:pt>
                <c:pt idx="29" formatCode="0.000">
                  <c:v>0.24199999999999999</c:v>
                </c:pt>
                <c:pt idx="30" formatCode="0.000">
                  <c:v>0.222</c:v>
                </c:pt>
                <c:pt idx="31" formatCode="0.000">
                  <c:v>0.222</c:v>
                </c:pt>
                <c:pt idx="32" formatCode="0.000">
                  <c:v>0.2</c:v>
                </c:pt>
                <c:pt idx="33" formatCode="0.000">
                  <c:v>0.2</c:v>
                </c:pt>
                <c:pt idx="34" formatCode="0.000">
                  <c:v>0.2</c:v>
                </c:pt>
                <c:pt idx="35" formatCode="0.000">
                  <c:v>0.2</c:v>
                </c:pt>
                <c:pt idx="36" formatCode="0.000">
                  <c:v>0.2</c:v>
                </c:pt>
                <c:pt idx="37" formatCode="0.000">
                  <c:v>0.2</c:v>
                </c:pt>
                <c:pt idx="38" formatCode="0.000">
                  <c:v>0.2</c:v>
                </c:pt>
                <c:pt idx="39" formatCode="0.000">
                  <c:v>0.2</c:v>
                </c:pt>
                <c:pt idx="40" formatCode="0.000">
                  <c:v>0.2</c:v>
                </c:pt>
                <c:pt idx="41" formatCode="0.000">
                  <c:v>0.19400000000000001</c:v>
                </c:pt>
                <c:pt idx="42" formatCode="0.000">
                  <c:v>0.19400000000000001</c:v>
                </c:pt>
                <c:pt idx="43" formatCode="0.000">
                  <c:v>0.19400000000000001</c:v>
                </c:pt>
                <c:pt idx="44" formatCode="0.000">
                  <c:v>0.19400000000000001</c:v>
                </c:pt>
                <c:pt idx="45" formatCode="0.000">
                  <c:v>0.26200000000000001</c:v>
                </c:pt>
                <c:pt idx="46" formatCode="0.000">
                  <c:v>0.33100000000000002</c:v>
                </c:pt>
                <c:pt idx="47" formatCode="0.000">
                  <c:v>0.35</c:v>
                </c:pt>
                <c:pt idx="48" formatCode="0.000">
                  <c:v>0.46</c:v>
                </c:pt>
                <c:pt idx="49" formatCode="0.000">
                  <c:v>0.52900000000000003</c:v>
                </c:pt>
                <c:pt idx="50" formatCode="0.000">
                  <c:v>0.47599999999999998</c:v>
                </c:pt>
                <c:pt idx="51" formatCode="0.000">
                  <c:v>0.47899999999999998</c:v>
                </c:pt>
                <c:pt idx="52" formatCode="0.000">
                  <c:v>0.47950000000000004</c:v>
                </c:pt>
                <c:pt idx="53" formatCode="0.000">
                  <c:v>0.48099999999999998</c:v>
                </c:pt>
                <c:pt idx="54" formatCode="0.000">
                  <c:v>0.48399999999999999</c:v>
                </c:pt>
                <c:pt idx="55" formatCode="0.000">
                  <c:v>0.48899999999999999</c:v>
                </c:pt>
                <c:pt idx="56" formatCode="0.000">
                  <c:v>0.497</c:v>
                </c:pt>
                <c:pt idx="57" formatCode="0.000">
                  <c:v>0.53400000000000003</c:v>
                </c:pt>
                <c:pt idx="58" formatCode="0.000">
                  <c:v>0.54800000000000004</c:v>
                </c:pt>
                <c:pt idx="59" formatCode="0.000">
                  <c:v>0.56799999999999995</c:v>
                </c:pt>
                <c:pt idx="60" formatCode="0.000">
                  <c:v>0.57999999999999996</c:v>
                </c:pt>
                <c:pt idx="61" formatCode="0.000">
                  <c:v>0.59399999999999997</c:v>
                </c:pt>
                <c:pt idx="62" formatCode="0.000">
                  <c:v>0.628</c:v>
                </c:pt>
                <c:pt idx="63" formatCode="0.000">
                  <c:v>0.65</c:v>
                </c:pt>
                <c:pt idx="64" formatCode="0.000">
                  <c:v>0.67300000000000004</c:v>
                </c:pt>
                <c:pt idx="65" formatCode="0.000">
                  <c:v>0.67800000000000005</c:v>
                </c:pt>
                <c:pt idx="66" formatCode="0.000">
                  <c:v>0.68500000000000005</c:v>
                </c:pt>
                <c:pt idx="67" formatCode="0.000">
                  <c:v>0.69</c:v>
                </c:pt>
                <c:pt idx="68" formatCode="0.000">
                  <c:v>0.69</c:v>
                </c:pt>
                <c:pt idx="69" formatCode="0.000">
                  <c:v>0.68400000000000005</c:v>
                </c:pt>
                <c:pt idx="70" formatCode="0.000">
                  <c:v>0.68200000000000005</c:v>
                </c:pt>
                <c:pt idx="71" formatCode="0.000">
                  <c:v>0.67600000000000005</c:v>
                </c:pt>
                <c:pt idx="72" formatCode="0.000">
                  <c:v>0.67100000000000004</c:v>
                </c:pt>
                <c:pt idx="73" formatCode="0.000">
                  <c:v>0.66600000000000004</c:v>
                </c:pt>
                <c:pt idx="74" formatCode="0.000">
                  <c:v>0.64500000000000002</c:v>
                </c:pt>
                <c:pt idx="75" formatCode="0.000">
                  <c:v>0.629</c:v>
                </c:pt>
                <c:pt idx="76" formatCode="0.000">
                  <c:v>0.59699999999999998</c:v>
                </c:pt>
                <c:pt idx="77" formatCode="0.000">
                  <c:v>0.58799999999999997</c:v>
                </c:pt>
                <c:pt idx="78" formatCode="0.000">
                  <c:v>0.56899999999999995</c:v>
                </c:pt>
                <c:pt idx="79" formatCode="0.000">
                  <c:v>0.54600000000000004</c:v>
                </c:pt>
                <c:pt idx="80" formatCode="0.000">
                  <c:v>0.54200000000000004</c:v>
                </c:pt>
                <c:pt idx="81" formatCode="0.000">
                  <c:v>0.53900000000000003</c:v>
                </c:pt>
                <c:pt idx="82" formatCode="0.000">
                  <c:v>0.53400000000000003</c:v>
                </c:pt>
                <c:pt idx="83" formatCode="0.000">
                  <c:v>0.52800000000000002</c:v>
                </c:pt>
                <c:pt idx="84" formatCode="0.000">
                  <c:v>0.51900000000000002</c:v>
                </c:pt>
                <c:pt idx="85" formatCode="0.000">
                  <c:v>0.51200000000000001</c:v>
                </c:pt>
                <c:pt idx="86" formatCode="0.000">
                  <c:v>0.503</c:v>
                </c:pt>
              </c:numCache>
            </c:numRef>
          </c:val>
          <c:smooth val="0"/>
          <c:extLst>
            <c:ext xmlns:c15="http://schemas.microsoft.com/office/drawing/2012/chart" uri="{02D57815-91ED-43cb-92C2-25804820EDAC}">
              <c15:categoryFilterExceptions>
                <c15:categoryFilterException>
                  <c15:sqref>'6.1'!$E$53</c15:sqref>
                  <c15:dLbl>
                    <c:idx val="-1"/>
                    <c:delete val="1"/>
                    <c:extLst>
                      <c:ext uri="{CE6537A1-D6FC-4f65-9D91-7224C49458BB}"/>
                      <c:ext xmlns:c16="http://schemas.microsoft.com/office/drawing/2014/chart" uri="{C3380CC4-5D6E-409C-BE32-E72D297353CC}">
                        <c16:uniqueId val="{00000048-74D4-4029-A7C0-F442D7EC5A7D}"/>
                      </c:ext>
                    </c:extLst>
                  </c15:dLbl>
                </c15:categoryFilterException>
                <c15:categoryFilterException>
                  <c15:sqref>'6.1'!$E$54</c15:sqref>
                  <c15:dLbl>
                    <c:idx val="-1"/>
                    <c:delete val="1"/>
                    <c:extLst>
                      <c:ext uri="{CE6537A1-D6FC-4f65-9D91-7224C49458BB}"/>
                      <c:ext xmlns:c16="http://schemas.microsoft.com/office/drawing/2014/chart" uri="{C3380CC4-5D6E-409C-BE32-E72D297353CC}">
                        <c16:uniqueId val="{00000049-74D4-4029-A7C0-F442D7EC5A7D}"/>
                      </c:ext>
                    </c:extLst>
                  </c15:dLbl>
                </c15:categoryFilterException>
                <c15:categoryFilterException>
                  <c15:sqref>'6.1'!$E$55</c15:sqref>
                  <c15:dLbl>
                    <c:idx val="-1"/>
                    <c:delete val="1"/>
                    <c:extLst>
                      <c:ext uri="{CE6537A1-D6FC-4f65-9D91-7224C49458BB}"/>
                      <c:ext xmlns:c16="http://schemas.microsoft.com/office/drawing/2014/chart" uri="{C3380CC4-5D6E-409C-BE32-E72D297353CC}">
                        <c16:uniqueId val="{0000004A-74D4-4029-A7C0-F442D7EC5A7D}"/>
                      </c:ext>
                    </c:extLst>
                  </c15:dLbl>
                </c15:categoryFilterException>
                <c15:categoryFilterException>
                  <c15:sqref>'6.1'!$E$56</c15:sqref>
                  <c15:dLbl>
                    <c:idx val="-1"/>
                    <c:delete val="1"/>
                    <c:extLst>
                      <c:ext uri="{CE6537A1-D6FC-4f65-9D91-7224C49458BB}"/>
                      <c:ext xmlns:c16="http://schemas.microsoft.com/office/drawing/2014/chart" uri="{C3380CC4-5D6E-409C-BE32-E72D297353CC}">
                        <c16:uniqueId val="{0000004B-74D4-4029-A7C0-F442D7EC5A7D}"/>
                      </c:ext>
                    </c:extLst>
                  </c15:dLbl>
                </c15:categoryFilterException>
                <c15:categoryFilterException>
                  <c15:sqref>'6.1'!$E$57</c15:sqref>
                  <c15:dLbl>
                    <c:idx val="-1"/>
                    <c:delete val="1"/>
                    <c:extLst>
                      <c:ext uri="{CE6537A1-D6FC-4f65-9D91-7224C49458BB}"/>
                      <c:ext xmlns:c16="http://schemas.microsoft.com/office/drawing/2014/chart" uri="{C3380CC4-5D6E-409C-BE32-E72D297353CC}">
                        <c16:uniqueId val="{0000004C-74D4-4029-A7C0-F442D7EC5A7D}"/>
                      </c:ext>
                    </c:extLst>
                  </c15:dLbl>
                </c15:categoryFilterException>
                <c15:categoryFilterException>
                  <c15:sqref>'6.1'!$E$58</c15:sqref>
                  <c15:dLbl>
                    <c:idx val="-1"/>
                    <c:delete val="1"/>
                    <c:extLst>
                      <c:ext uri="{CE6537A1-D6FC-4f65-9D91-7224C49458BB}"/>
                      <c:ext xmlns:c16="http://schemas.microsoft.com/office/drawing/2014/chart" uri="{C3380CC4-5D6E-409C-BE32-E72D297353CC}">
                        <c16:uniqueId val="{0000004D-74D4-4029-A7C0-F442D7EC5A7D}"/>
                      </c:ext>
                    </c:extLst>
                  </c15:dLbl>
                </c15:categoryFilterException>
                <c15:categoryFilterException>
                  <c15:sqref>'6.1'!$E$59</c15:sqref>
                  <c15:dLbl>
                    <c:idx val="-1"/>
                    <c:delete val="1"/>
                    <c:extLst>
                      <c:ext uri="{CE6537A1-D6FC-4f65-9D91-7224C49458BB}"/>
                      <c:ext xmlns:c16="http://schemas.microsoft.com/office/drawing/2014/chart" uri="{C3380CC4-5D6E-409C-BE32-E72D297353CC}">
                        <c16:uniqueId val="{0000004E-74D4-4029-A7C0-F442D7EC5A7D}"/>
                      </c:ext>
                    </c:extLst>
                  </c15:dLbl>
                </c15:categoryFilterException>
                <c15:categoryFilterException>
                  <c15:sqref>'6.1'!$E$60</c15:sqref>
                  <c15:dLbl>
                    <c:idx val="-1"/>
                    <c:delete val="1"/>
                    <c:extLst>
                      <c:ext uri="{CE6537A1-D6FC-4f65-9D91-7224C49458BB}"/>
                      <c:ext xmlns:c16="http://schemas.microsoft.com/office/drawing/2014/chart" uri="{C3380CC4-5D6E-409C-BE32-E72D297353CC}">
                        <c16:uniqueId val="{0000004F-74D4-4029-A7C0-F442D7EC5A7D}"/>
                      </c:ext>
                    </c:extLst>
                  </c15:dLbl>
                </c15:categoryFilterException>
                <c15:categoryFilterException>
                  <c15:sqref>'6.1'!$E$61</c15:sqref>
                  <c15:dLbl>
                    <c:idx val="-1"/>
                    <c:delete val="1"/>
                    <c:extLst>
                      <c:ext uri="{CE6537A1-D6FC-4f65-9D91-7224C49458BB}"/>
                      <c:ext xmlns:c16="http://schemas.microsoft.com/office/drawing/2014/chart" uri="{C3380CC4-5D6E-409C-BE32-E72D297353CC}">
                        <c16:uniqueId val="{00000050-74D4-4029-A7C0-F442D7EC5A7D}"/>
                      </c:ext>
                    </c:extLst>
                  </c15:dLbl>
                </c15:categoryFilterException>
                <c15:categoryFilterException>
                  <c15:sqref>'6.1'!$E$62</c15:sqref>
                  <c15:dLbl>
                    <c:idx val="-1"/>
                    <c:delete val="1"/>
                    <c:extLst>
                      <c:ext uri="{CE6537A1-D6FC-4f65-9D91-7224C49458BB}"/>
                      <c:ext xmlns:c16="http://schemas.microsoft.com/office/drawing/2014/chart" uri="{C3380CC4-5D6E-409C-BE32-E72D297353CC}">
                        <c16:uniqueId val="{00000051-74D4-4029-A7C0-F442D7EC5A7D}"/>
                      </c:ext>
                    </c:extLst>
                  </c15:dLbl>
                </c15:categoryFilterException>
                <c15:categoryFilterException>
                  <c15:sqref>'6.1'!$E$63</c15:sqref>
                  <c15:dLbl>
                    <c:idx val="-1"/>
                    <c:delete val="1"/>
                    <c:extLst>
                      <c:ext uri="{CE6537A1-D6FC-4f65-9D91-7224C49458BB}"/>
                      <c:ext xmlns:c16="http://schemas.microsoft.com/office/drawing/2014/chart" uri="{C3380CC4-5D6E-409C-BE32-E72D297353CC}">
                        <c16:uniqueId val="{00000052-74D4-4029-A7C0-F442D7EC5A7D}"/>
                      </c:ext>
                    </c:extLst>
                  </c15:dLbl>
                </c15:categoryFilterException>
                <c15:categoryFilterException>
                  <c15:sqref>'6.1'!$E$64</c15:sqref>
                  <c15:dLbl>
                    <c:idx val="-1"/>
                    <c:delete val="1"/>
                    <c:extLst>
                      <c:ext uri="{CE6537A1-D6FC-4f65-9D91-7224C49458BB}"/>
                      <c:ext xmlns:c16="http://schemas.microsoft.com/office/drawing/2014/chart" uri="{C3380CC4-5D6E-409C-BE32-E72D297353CC}">
                        <c16:uniqueId val="{00000053-74D4-4029-A7C0-F442D7EC5A7D}"/>
                      </c:ext>
                    </c:extLst>
                  </c15:dLbl>
                </c15:categoryFilterException>
                <c15:categoryFilterException>
                  <c15:sqref>'6.1'!$E$65</c15:sqref>
                  <c15:dLbl>
                    <c:idx val="-1"/>
                    <c:delete val="1"/>
                    <c:extLst>
                      <c:ext uri="{CE6537A1-D6FC-4f65-9D91-7224C49458BB}"/>
                      <c:ext xmlns:c16="http://schemas.microsoft.com/office/drawing/2014/chart" uri="{C3380CC4-5D6E-409C-BE32-E72D297353CC}">
                        <c16:uniqueId val="{00000054-74D4-4029-A7C0-F442D7EC5A7D}"/>
                      </c:ext>
                    </c:extLst>
                  </c15:dLbl>
                </c15:categoryFilterException>
                <c15:categoryFilterException>
                  <c15:sqref>'6.1'!$E$66</c15:sqref>
                  <c15:dLbl>
                    <c:idx val="-1"/>
                    <c:delete val="1"/>
                    <c:extLst>
                      <c:ext uri="{CE6537A1-D6FC-4f65-9D91-7224C49458BB}"/>
                      <c:ext xmlns:c16="http://schemas.microsoft.com/office/drawing/2014/chart" uri="{C3380CC4-5D6E-409C-BE32-E72D297353CC}">
                        <c16:uniqueId val="{00000055-74D4-4029-A7C0-F442D7EC5A7D}"/>
                      </c:ext>
                    </c:extLst>
                  </c15:dLbl>
                </c15:categoryFilterException>
                <c15:categoryFilterException>
                  <c15:sqref>'6.1'!$E$67</c15:sqref>
                  <c15:dLbl>
                    <c:idx val="-1"/>
                    <c:delete val="1"/>
                    <c:extLst>
                      <c:ext uri="{CE6537A1-D6FC-4f65-9D91-7224C49458BB}"/>
                      <c:ext xmlns:c16="http://schemas.microsoft.com/office/drawing/2014/chart" uri="{C3380CC4-5D6E-409C-BE32-E72D297353CC}">
                        <c16:uniqueId val="{00000056-74D4-4029-A7C0-F442D7EC5A7D}"/>
                      </c:ext>
                    </c:extLst>
                  </c15:dLbl>
                </c15:categoryFilterException>
                <c15:categoryFilterException>
                  <c15:sqref>'6.1'!$E$68</c15:sqref>
                  <c15:dLbl>
                    <c:idx val="-1"/>
                    <c:delete val="1"/>
                    <c:extLst>
                      <c:ext uri="{CE6537A1-D6FC-4f65-9D91-7224C49458BB}"/>
                      <c:ext xmlns:c16="http://schemas.microsoft.com/office/drawing/2014/chart" uri="{C3380CC4-5D6E-409C-BE32-E72D297353CC}">
                        <c16:uniqueId val="{00000057-74D4-4029-A7C0-F442D7EC5A7D}"/>
                      </c:ext>
                    </c:extLst>
                  </c15:dLbl>
                </c15:categoryFilterException>
                <c15:categoryFilterException>
                  <c15:sqref>'6.1'!$E$69</c15:sqref>
                  <c15:dLbl>
                    <c:idx val="-1"/>
                    <c:delete val="1"/>
                    <c:extLst>
                      <c:ext uri="{CE6537A1-D6FC-4f65-9D91-7224C49458BB}"/>
                      <c:ext xmlns:c16="http://schemas.microsoft.com/office/drawing/2014/chart" uri="{C3380CC4-5D6E-409C-BE32-E72D297353CC}">
                        <c16:uniqueId val="{00000058-74D4-4029-A7C0-F442D7EC5A7D}"/>
                      </c:ext>
                    </c:extLst>
                  </c15:dLbl>
                </c15:categoryFilterException>
                <c15:categoryFilterException>
                  <c15:sqref>'6.1'!$E$70</c15:sqref>
                  <c15:dLbl>
                    <c:idx val="-1"/>
                    <c:delete val="1"/>
                    <c:extLst>
                      <c:ext uri="{CE6537A1-D6FC-4f65-9D91-7224C49458BB}"/>
                      <c:ext xmlns:c16="http://schemas.microsoft.com/office/drawing/2014/chart" uri="{C3380CC4-5D6E-409C-BE32-E72D297353CC}">
                        <c16:uniqueId val="{00000059-74D4-4029-A7C0-F442D7EC5A7D}"/>
                      </c:ext>
                    </c:extLst>
                  </c15:dLbl>
                </c15:categoryFilterException>
                <c15:categoryFilterException>
                  <c15:sqref>'6.1'!$E$71</c15:sqref>
                  <c15:dLbl>
                    <c:idx val="-1"/>
                    <c:delete val="1"/>
                    <c:extLst>
                      <c:ext uri="{CE6537A1-D6FC-4f65-9D91-7224C49458BB}"/>
                      <c:ext xmlns:c16="http://schemas.microsoft.com/office/drawing/2014/chart" uri="{C3380CC4-5D6E-409C-BE32-E72D297353CC}">
                        <c16:uniqueId val="{0000005A-74D4-4029-A7C0-F442D7EC5A7D}"/>
                      </c:ext>
                    </c:extLst>
                  </c15:dLbl>
                </c15:categoryFilterException>
                <c15:categoryFilterException>
                  <c15:sqref>'6.1'!$E$72</c15:sqref>
                  <c15:dLbl>
                    <c:idx val="-1"/>
                    <c:delete val="1"/>
                    <c:extLst>
                      <c:ext uri="{CE6537A1-D6FC-4f65-9D91-7224C49458BB}"/>
                      <c:ext xmlns:c16="http://schemas.microsoft.com/office/drawing/2014/chart" uri="{C3380CC4-5D6E-409C-BE32-E72D297353CC}">
                        <c16:uniqueId val="{0000005B-74D4-4029-A7C0-F442D7EC5A7D}"/>
                      </c:ext>
                    </c:extLst>
                  </c15:dLbl>
                </c15:categoryFilterException>
                <c15:categoryFilterException>
                  <c15:sqref>'6.1'!$E$73</c15:sqref>
                  <c15:dLbl>
                    <c:idx val="-1"/>
                    <c:delete val="1"/>
                    <c:extLst>
                      <c:ext uri="{CE6537A1-D6FC-4f65-9D91-7224C49458BB}"/>
                      <c:ext xmlns:c16="http://schemas.microsoft.com/office/drawing/2014/chart" uri="{C3380CC4-5D6E-409C-BE32-E72D297353CC}">
                        <c16:uniqueId val="{0000005C-74D4-4029-A7C0-F442D7EC5A7D}"/>
                      </c:ext>
                    </c:extLst>
                  </c15:dLbl>
                </c15:categoryFilterException>
                <c15:categoryFilterException>
                  <c15:sqref>'6.1'!$E$74</c15:sqref>
                  <c15:dLbl>
                    <c:idx val="-1"/>
                    <c:delete val="1"/>
                    <c:extLst>
                      <c:ext uri="{CE6537A1-D6FC-4f65-9D91-7224C49458BB}"/>
                      <c:ext xmlns:c16="http://schemas.microsoft.com/office/drawing/2014/chart" uri="{C3380CC4-5D6E-409C-BE32-E72D297353CC}">
                        <c16:uniqueId val="{0000005D-74D4-4029-A7C0-F442D7EC5A7D}"/>
                      </c:ext>
                    </c:extLst>
                  </c15:dLbl>
                </c15:categoryFilterException>
                <c15:categoryFilterException>
                  <c15:sqref>'6.1'!$E$75</c15:sqref>
                  <c15:dLbl>
                    <c:idx val="-1"/>
                    <c:delete val="1"/>
                    <c:extLst>
                      <c:ext uri="{CE6537A1-D6FC-4f65-9D91-7224C49458BB}"/>
                      <c:ext xmlns:c16="http://schemas.microsoft.com/office/drawing/2014/chart" uri="{C3380CC4-5D6E-409C-BE32-E72D297353CC}">
                        <c16:uniqueId val="{0000005E-74D4-4029-A7C0-F442D7EC5A7D}"/>
                      </c:ext>
                    </c:extLst>
                  </c15:dLbl>
                </c15:categoryFilterException>
                <c15:categoryFilterException>
                  <c15:sqref>'6.1'!$E$76</c15:sqref>
                  <c15:dLbl>
                    <c:idx val="-1"/>
                    <c:delete val="1"/>
                    <c:extLst>
                      <c:ext uri="{CE6537A1-D6FC-4f65-9D91-7224C49458BB}"/>
                      <c:ext xmlns:c16="http://schemas.microsoft.com/office/drawing/2014/chart" uri="{C3380CC4-5D6E-409C-BE32-E72D297353CC}">
                        <c16:uniqueId val="{0000005F-74D4-4029-A7C0-F442D7EC5A7D}"/>
                      </c:ext>
                    </c:extLst>
                  </c15:dLbl>
                </c15:categoryFilterException>
                <c15:categoryFilterException>
                  <c15:sqref>'6.1'!$E$77</c15:sqref>
                  <c15:dLbl>
                    <c:idx val="-1"/>
                    <c:delete val="1"/>
                    <c:extLst>
                      <c:ext uri="{CE6537A1-D6FC-4f65-9D91-7224C49458BB}"/>
                      <c:ext xmlns:c16="http://schemas.microsoft.com/office/drawing/2014/chart" uri="{C3380CC4-5D6E-409C-BE32-E72D297353CC}">
                        <c16:uniqueId val="{00000060-74D4-4029-A7C0-F442D7EC5A7D}"/>
                      </c:ext>
                    </c:extLst>
                  </c15:dLbl>
                </c15:categoryFilterException>
                <c15:categoryFilterException>
                  <c15:sqref>'6.1'!$E$78</c15:sqref>
                  <c15:dLbl>
                    <c:idx val="-1"/>
                    <c:delete val="1"/>
                    <c:extLst>
                      <c:ext uri="{CE6537A1-D6FC-4f65-9D91-7224C49458BB}"/>
                      <c:ext xmlns:c16="http://schemas.microsoft.com/office/drawing/2014/chart" uri="{C3380CC4-5D6E-409C-BE32-E72D297353CC}">
                        <c16:uniqueId val="{00000061-74D4-4029-A7C0-F442D7EC5A7D}"/>
                      </c:ext>
                    </c:extLst>
                  </c15:dLbl>
                </c15:categoryFilterException>
                <c15:categoryFilterException>
                  <c15:sqref>'6.1'!$E$79</c15:sqref>
                  <c15:dLbl>
                    <c:idx val="-1"/>
                    <c:delete val="1"/>
                    <c:extLst>
                      <c:ext uri="{CE6537A1-D6FC-4f65-9D91-7224C49458BB}"/>
                      <c:ext xmlns:c16="http://schemas.microsoft.com/office/drawing/2014/chart" uri="{C3380CC4-5D6E-409C-BE32-E72D297353CC}">
                        <c16:uniqueId val="{00000062-74D4-4029-A7C0-F442D7EC5A7D}"/>
                      </c:ext>
                    </c:extLst>
                  </c15:dLbl>
                </c15:categoryFilterException>
                <c15:categoryFilterException>
                  <c15:sqref>'6.1'!$E$80</c15:sqref>
                  <c15:dLbl>
                    <c:idx val="-1"/>
                    <c:delete val="1"/>
                    <c:extLst>
                      <c:ext uri="{CE6537A1-D6FC-4f65-9D91-7224C49458BB}"/>
                      <c:ext xmlns:c16="http://schemas.microsoft.com/office/drawing/2014/chart" uri="{C3380CC4-5D6E-409C-BE32-E72D297353CC}">
                        <c16:uniqueId val="{00000063-74D4-4029-A7C0-F442D7EC5A7D}"/>
                      </c:ext>
                    </c:extLst>
                  </c15:dLbl>
                </c15:categoryFilterException>
                <c15:categoryFilterException>
                  <c15:sqref>'6.1'!$E$81</c15:sqref>
                  <c15:dLbl>
                    <c:idx val="-1"/>
                    <c:delete val="1"/>
                    <c:extLst>
                      <c:ext uri="{CE6537A1-D6FC-4f65-9D91-7224C49458BB}"/>
                      <c:ext xmlns:c16="http://schemas.microsoft.com/office/drawing/2014/chart" uri="{C3380CC4-5D6E-409C-BE32-E72D297353CC}">
                        <c16:uniqueId val="{00000064-74D4-4029-A7C0-F442D7EC5A7D}"/>
                      </c:ext>
                    </c:extLst>
                  </c15:dLbl>
                </c15:categoryFilterException>
                <c15:categoryFilterException>
                  <c15:sqref>'6.1'!$E$82</c15:sqref>
                  <c15:dLbl>
                    <c:idx val="-1"/>
                    <c:delete val="1"/>
                    <c:extLst>
                      <c:ext uri="{CE6537A1-D6FC-4f65-9D91-7224C49458BB}"/>
                      <c:ext xmlns:c16="http://schemas.microsoft.com/office/drawing/2014/chart" uri="{C3380CC4-5D6E-409C-BE32-E72D297353CC}">
                        <c16:uniqueId val="{00000065-74D4-4029-A7C0-F442D7EC5A7D}"/>
                      </c:ext>
                    </c:extLst>
                  </c15:dLbl>
                </c15:categoryFilterException>
                <c15:categoryFilterException>
                  <c15:sqref>'6.1'!$E$83</c15:sqref>
                  <c15:dLbl>
                    <c:idx val="-1"/>
                    <c:delete val="1"/>
                    <c:extLst>
                      <c:ext uri="{CE6537A1-D6FC-4f65-9D91-7224C49458BB}"/>
                      <c:ext xmlns:c16="http://schemas.microsoft.com/office/drawing/2014/chart" uri="{C3380CC4-5D6E-409C-BE32-E72D297353CC}">
                        <c16:uniqueId val="{00000066-74D4-4029-A7C0-F442D7EC5A7D}"/>
                      </c:ext>
                    </c:extLst>
                  </c15:dLbl>
                </c15:categoryFilterException>
                <c15:categoryFilterException>
                  <c15:sqref>'6.1'!$E$84</c15:sqref>
                  <c15:dLbl>
                    <c:idx val="-1"/>
                    <c:delete val="1"/>
                    <c:extLst>
                      <c:ext uri="{CE6537A1-D6FC-4f65-9D91-7224C49458BB}"/>
                      <c:ext xmlns:c16="http://schemas.microsoft.com/office/drawing/2014/chart" uri="{C3380CC4-5D6E-409C-BE32-E72D297353CC}">
                        <c16:uniqueId val="{00000067-74D4-4029-A7C0-F442D7EC5A7D}"/>
                      </c:ext>
                    </c:extLst>
                  </c15:dLbl>
                </c15:categoryFilterException>
                <c15:categoryFilterException>
                  <c15:sqref>'6.1'!$E$85</c15:sqref>
                  <c15:dLbl>
                    <c:idx val="-1"/>
                    <c:delete val="1"/>
                    <c:extLst>
                      <c:ext uri="{CE6537A1-D6FC-4f65-9D91-7224C49458BB}"/>
                      <c:ext xmlns:c16="http://schemas.microsoft.com/office/drawing/2014/chart" uri="{C3380CC4-5D6E-409C-BE32-E72D297353CC}">
                        <c16:uniqueId val="{00000068-74D4-4029-A7C0-F442D7EC5A7D}"/>
                      </c:ext>
                    </c:extLst>
                  </c15:dLbl>
                </c15:categoryFilterException>
                <c15:categoryFilterException>
                  <c15:sqref>'6.1'!$E$86</c15:sqref>
                  <c15:dLbl>
                    <c:idx val="-1"/>
                    <c:delete val="1"/>
                    <c:extLst>
                      <c:ext uri="{CE6537A1-D6FC-4f65-9D91-7224C49458BB}"/>
                      <c:ext xmlns:c16="http://schemas.microsoft.com/office/drawing/2014/chart" uri="{C3380CC4-5D6E-409C-BE32-E72D297353CC}">
                        <c16:uniqueId val="{00000069-74D4-4029-A7C0-F442D7EC5A7D}"/>
                      </c:ext>
                    </c:extLst>
                  </c15:dLbl>
                </c15:categoryFilterException>
                <c15:categoryFilterException>
                  <c15:sqref>'6.1'!$E$87</c15:sqref>
                  <c15:dLbl>
                    <c:idx val="-1"/>
                    <c:delete val="1"/>
                    <c:extLst>
                      <c:ext uri="{CE6537A1-D6FC-4f65-9D91-7224C49458BB}"/>
                      <c:ext xmlns:c16="http://schemas.microsoft.com/office/drawing/2014/chart" uri="{C3380CC4-5D6E-409C-BE32-E72D297353CC}">
                        <c16:uniqueId val="{0000006A-74D4-4029-A7C0-F442D7EC5A7D}"/>
                      </c:ext>
                    </c:extLst>
                  </c15:dLbl>
                </c15:categoryFilterException>
                <c15:categoryFilterException>
                  <c15:sqref>'6.1'!$E$88</c15:sqref>
                  <c15:dLbl>
                    <c:idx val="-1"/>
                    <c:delete val="1"/>
                    <c:extLst>
                      <c:ext uri="{CE6537A1-D6FC-4f65-9D91-7224C49458BB}"/>
                      <c:ext xmlns:c16="http://schemas.microsoft.com/office/drawing/2014/chart" uri="{C3380CC4-5D6E-409C-BE32-E72D297353CC}">
                        <c16:uniqueId val="{0000006B-74D4-4029-A7C0-F442D7EC5A7D}"/>
                      </c:ext>
                    </c:extLst>
                  </c15:dLbl>
                </c15:categoryFilterException>
                <c15:categoryFilterException>
                  <c15:sqref>'6.1'!$E$89</c15:sqref>
                  <c15:dLbl>
                    <c:idx val="-1"/>
                    <c:delete val="1"/>
                    <c:extLst>
                      <c:ext uri="{CE6537A1-D6FC-4f65-9D91-7224C49458BB}"/>
                      <c:ext xmlns:c16="http://schemas.microsoft.com/office/drawing/2014/chart" uri="{C3380CC4-5D6E-409C-BE32-E72D297353CC}">
                        <c16:uniqueId val="{0000006C-74D4-4029-A7C0-F442D7EC5A7D}"/>
                      </c:ext>
                    </c:extLst>
                  </c15:dLbl>
                </c15:categoryFilterException>
                <c15:categoryFilterException>
                  <c15:sqref>'6.1'!$E$90</c15:sqref>
                  <c15:dLbl>
                    <c:idx val="-1"/>
                    <c:delete val="1"/>
                    <c:extLst>
                      <c:ext uri="{CE6537A1-D6FC-4f65-9D91-7224C49458BB}"/>
                      <c:ext xmlns:c16="http://schemas.microsoft.com/office/drawing/2014/chart" uri="{C3380CC4-5D6E-409C-BE32-E72D297353CC}">
                        <c16:uniqueId val="{0000006D-74D4-4029-A7C0-F442D7EC5A7D}"/>
                      </c:ext>
                    </c:extLst>
                  </c15:dLbl>
                </c15:categoryFilterException>
                <c15:categoryFilterException>
                  <c15:sqref>'6.1'!$E$91</c15:sqref>
                  <c15:dLbl>
                    <c:idx val="-1"/>
                    <c:delete val="1"/>
                    <c:extLst>
                      <c:ext uri="{CE6537A1-D6FC-4f65-9D91-7224C49458BB}"/>
                      <c:ext xmlns:c16="http://schemas.microsoft.com/office/drawing/2014/chart" uri="{C3380CC4-5D6E-409C-BE32-E72D297353CC}">
                        <c16:uniqueId val="{0000006E-74D4-4029-A7C0-F442D7EC5A7D}"/>
                      </c:ext>
                    </c:extLst>
                  </c15:dLbl>
                </c15:categoryFilterException>
                <c15:categoryFilterException>
                  <c15:sqref>'6.1'!$E$92</c15:sqref>
                  <c15:dLbl>
                    <c:idx val="-1"/>
                    <c:delete val="1"/>
                    <c:extLst>
                      <c:ext uri="{CE6537A1-D6FC-4f65-9D91-7224C49458BB}"/>
                      <c:ext xmlns:c16="http://schemas.microsoft.com/office/drawing/2014/chart" uri="{C3380CC4-5D6E-409C-BE32-E72D297353CC}">
                        <c16:uniqueId val="{0000006F-74D4-4029-A7C0-F442D7EC5A7D}"/>
                      </c:ext>
                    </c:extLst>
                  </c15:dLbl>
                </c15:categoryFilterException>
                <c15:categoryFilterException>
                  <c15:sqref>'6.1'!$E$93</c15:sqref>
                  <c15:dLbl>
                    <c:idx val="-1"/>
                    <c:delete val="1"/>
                    <c:extLst>
                      <c:ext uri="{CE6537A1-D6FC-4f65-9D91-7224C49458BB}"/>
                      <c:ext xmlns:c16="http://schemas.microsoft.com/office/drawing/2014/chart" uri="{C3380CC4-5D6E-409C-BE32-E72D297353CC}">
                        <c16:uniqueId val="{00000070-74D4-4029-A7C0-F442D7EC5A7D}"/>
                      </c:ext>
                    </c:extLst>
                  </c15:dLbl>
                </c15:categoryFilterException>
                <c15:categoryFilterException>
                  <c15:sqref>'6.1'!$E$94</c15:sqref>
                  <c15:dLbl>
                    <c:idx val="-1"/>
                    <c:delete val="1"/>
                    <c:extLst>
                      <c:ext uri="{CE6537A1-D6FC-4f65-9D91-7224C49458BB}"/>
                      <c:ext xmlns:c16="http://schemas.microsoft.com/office/drawing/2014/chart" uri="{C3380CC4-5D6E-409C-BE32-E72D297353CC}">
                        <c16:uniqueId val="{00000071-74D4-4029-A7C0-F442D7EC5A7D}"/>
                      </c:ext>
                    </c:extLst>
                  </c15:dLbl>
                </c15:categoryFilterException>
                <c15:categoryFilterException>
                  <c15:sqref>'6.1'!$E$95</c15:sqref>
                  <c15:dLbl>
                    <c:idx val="-1"/>
                    <c:delete val="1"/>
                    <c:extLst>
                      <c:ext uri="{CE6537A1-D6FC-4f65-9D91-7224C49458BB}"/>
                      <c:ext xmlns:c16="http://schemas.microsoft.com/office/drawing/2014/chart" uri="{C3380CC4-5D6E-409C-BE32-E72D297353CC}">
                        <c16:uniqueId val="{00000072-74D4-4029-A7C0-F442D7EC5A7D}"/>
                      </c:ext>
                    </c:extLst>
                  </c15:dLbl>
                </c15:categoryFilterException>
                <c15:categoryFilterException>
                  <c15:sqref>'6.1'!$E$96</c15:sqref>
                  <c15:dLbl>
                    <c:idx val="-1"/>
                    <c:delete val="1"/>
                    <c:extLst>
                      <c:ext uri="{CE6537A1-D6FC-4f65-9D91-7224C49458BB}"/>
                      <c:ext xmlns:c16="http://schemas.microsoft.com/office/drawing/2014/chart" uri="{C3380CC4-5D6E-409C-BE32-E72D297353CC}">
                        <c16:uniqueId val="{00000073-74D4-4029-A7C0-F442D7EC5A7D}"/>
                      </c:ext>
                    </c:extLst>
                  </c15:dLbl>
                </c15:categoryFilterException>
                <c15:categoryFilterException>
                  <c15:sqref>'6.1'!$E$97</c15:sqref>
                  <c15:dLbl>
                    <c:idx val="-1"/>
                    <c:delete val="1"/>
                    <c:extLst>
                      <c:ext uri="{CE6537A1-D6FC-4f65-9D91-7224C49458BB}"/>
                      <c:ext xmlns:c16="http://schemas.microsoft.com/office/drawing/2014/chart" uri="{C3380CC4-5D6E-409C-BE32-E72D297353CC}">
                        <c16:uniqueId val="{00000074-74D4-4029-A7C0-F442D7EC5A7D}"/>
                      </c:ext>
                    </c:extLst>
                  </c15:dLbl>
                </c15:categoryFilterException>
                <c15:categoryFilterException>
                  <c15:sqref>'6.1'!$E$98</c15:sqref>
                  <c15:dLbl>
                    <c:idx val="-1"/>
                    <c:delete val="1"/>
                    <c:extLst>
                      <c:ext uri="{CE6537A1-D6FC-4f65-9D91-7224C49458BB}"/>
                      <c:ext xmlns:c16="http://schemas.microsoft.com/office/drawing/2014/chart" uri="{C3380CC4-5D6E-409C-BE32-E72D297353CC}">
                        <c16:uniqueId val="{00000075-74D4-4029-A7C0-F442D7EC5A7D}"/>
                      </c:ext>
                    </c:extLst>
                  </c15:dLbl>
                </c15:categoryFilterException>
                <c15:categoryFilterException>
                  <c15:sqref>'6.1'!$E$99</c15:sqref>
                  <c15:dLbl>
                    <c:idx val="-1"/>
                    <c:delete val="1"/>
                    <c:extLst>
                      <c:ext uri="{CE6537A1-D6FC-4f65-9D91-7224C49458BB}"/>
                      <c:ext xmlns:c16="http://schemas.microsoft.com/office/drawing/2014/chart" uri="{C3380CC4-5D6E-409C-BE32-E72D297353CC}">
                        <c16:uniqueId val="{00000076-74D4-4029-A7C0-F442D7EC5A7D}"/>
                      </c:ext>
                    </c:extLst>
                  </c15:dLbl>
                </c15:categoryFilterException>
                <c15:categoryFilterException>
                  <c15:sqref>'6.1'!$E$100</c15:sqref>
                  <c15:dLbl>
                    <c:idx val="-1"/>
                    <c:delete val="1"/>
                    <c:extLst>
                      <c:ext uri="{CE6537A1-D6FC-4f65-9D91-7224C49458BB}"/>
                      <c:ext xmlns:c16="http://schemas.microsoft.com/office/drawing/2014/chart" uri="{C3380CC4-5D6E-409C-BE32-E72D297353CC}">
                        <c16:uniqueId val="{00000077-74D4-4029-A7C0-F442D7EC5A7D}"/>
                      </c:ext>
                    </c:extLst>
                  </c15:dLbl>
                </c15:categoryFilterException>
              </c15:categoryFilterExceptions>
            </c:ext>
            <c:ext xmlns:c16="http://schemas.microsoft.com/office/drawing/2014/chart" uri="{C3380CC4-5D6E-409C-BE32-E72D297353CC}">
              <c16:uniqueId val="{000000D4-671E-48EB-9C93-9A03351AE2D8}"/>
            </c:ext>
          </c:extLst>
        </c:ser>
        <c:dLbls>
          <c:dLblPos val="t"/>
          <c:showLegendKey val="0"/>
          <c:showVal val="1"/>
          <c:showCatName val="0"/>
          <c:showSerName val="0"/>
          <c:showPercent val="0"/>
          <c:showBubbleSize val="0"/>
        </c:dLbls>
        <c:smooth val="0"/>
        <c:axId val="486519088"/>
        <c:axId val="486519480"/>
      </c:lineChart>
      <c:catAx>
        <c:axId val="486519088"/>
        <c:scaling>
          <c:orientation val="minMax"/>
        </c:scaling>
        <c:delete val="0"/>
        <c:axPos val="b"/>
        <c:numFmt formatCode="General" sourceLinked="0"/>
        <c:majorTickMark val="none"/>
        <c:minorTickMark val="none"/>
        <c:tickLblPos val="nextTo"/>
        <c:spPr>
          <a:ln w="12700"/>
        </c:spPr>
        <c:txPr>
          <a:bodyPr/>
          <a:lstStyle/>
          <a:p>
            <a:pPr>
              <a:defRPr sz="1100" b="0">
                <a:latin typeface="Geomanist" panose="02000503000000020004" pitchFamily="50" charset="0"/>
              </a:defRPr>
            </a:pPr>
            <a:endParaRPr lang="en-US"/>
          </a:p>
        </c:txPr>
        <c:crossAx val="486519480"/>
        <c:crosses val="autoZero"/>
        <c:auto val="1"/>
        <c:lblAlgn val="ctr"/>
        <c:lblOffset val="100"/>
        <c:tickLblSkip val="1"/>
        <c:noMultiLvlLbl val="0"/>
      </c:catAx>
      <c:valAx>
        <c:axId val="486519480"/>
        <c:scaling>
          <c:orientation val="minMax"/>
          <c:max val="0.9"/>
        </c:scaling>
        <c:delete val="0"/>
        <c:axPos val="l"/>
        <c:majorGridlines>
          <c:spPr>
            <a:ln>
              <a:solidFill>
                <a:schemeClr val="bg1">
                  <a:lumMod val="85000"/>
                </a:schemeClr>
              </a:solidFill>
            </a:ln>
          </c:spPr>
        </c:majorGridlines>
        <c:title>
          <c:tx>
            <c:rich>
              <a:bodyPr/>
              <a:lstStyle/>
              <a:p>
                <a:pPr>
                  <a:defRPr sz="1200" b="0">
                    <a:latin typeface="Heuristica" panose="02020603050705020204" pitchFamily="18" charset="0"/>
                  </a:defRPr>
                </a:pPr>
                <a:r>
                  <a:rPr lang="en-US" sz="1200" b="0">
                    <a:latin typeface="Heuristica" panose="02020603050705020204" pitchFamily="18" charset="0"/>
                  </a:rPr>
                  <a:t>Percent</a:t>
                </a:r>
              </a:p>
            </c:rich>
          </c:tx>
          <c:layout>
            <c:manualLayout>
              <c:xMode val="edge"/>
              <c:yMode val="edge"/>
              <c:x val="1.7858082988893253E-2"/>
              <c:y val="0.3391686948222381"/>
            </c:manualLayout>
          </c:layout>
          <c:overlay val="0"/>
        </c:title>
        <c:numFmt formatCode="#,##0.000" sourceLinked="1"/>
        <c:majorTickMark val="none"/>
        <c:minorTickMark val="none"/>
        <c:tickLblPos val="nextTo"/>
        <c:spPr>
          <a:ln w="12700">
            <a:solidFill>
              <a:schemeClr val="bg1">
                <a:lumMod val="50000"/>
              </a:schemeClr>
            </a:solidFill>
          </a:ln>
        </c:spPr>
        <c:txPr>
          <a:bodyPr/>
          <a:lstStyle/>
          <a:p>
            <a:pPr>
              <a:defRPr sz="1100" b="1">
                <a:latin typeface="Geomanist" panose="02000503000000020004" pitchFamily="50" charset="0"/>
              </a:defRPr>
            </a:pPr>
            <a:endParaRPr lang="en-US"/>
          </a:p>
        </c:txPr>
        <c:crossAx val="486519088"/>
        <c:crosses val="autoZero"/>
        <c:crossBetween val="between"/>
      </c:valAx>
      <c:spPr>
        <a:noFill/>
        <a:ln w="25400">
          <a:noFill/>
        </a:ln>
      </c:spPr>
    </c:plotArea>
    <c:legend>
      <c:legendPos val="b"/>
      <c:layout>
        <c:manualLayout>
          <c:xMode val="edge"/>
          <c:yMode val="edge"/>
          <c:x val="0.14236620715665671"/>
          <c:y val="0.92875770831676341"/>
          <c:w val="0.74848615697231391"/>
          <c:h val="4.8233940454412892E-2"/>
        </c:manualLayout>
      </c:layout>
      <c:overlay val="0"/>
      <c:txPr>
        <a:bodyPr/>
        <a:lstStyle/>
        <a:p>
          <a:pPr>
            <a:defRPr sz="1200" b="1">
              <a:latin typeface="Heuristica" panose="02020603050705020204" pitchFamily="18" charset="0"/>
            </a:defRPr>
          </a:pPr>
          <a:endParaRPr lang="en-US"/>
        </a:p>
      </c:txPr>
    </c:legend>
    <c:plotVisOnly val="1"/>
    <c:dispBlanksAs val="gap"/>
    <c:showDLblsOverMax val="0"/>
  </c:char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6.2: </a:t>
            </a:r>
            <a:r>
              <a:rPr lang="en-US" sz="2000">
                <a:solidFill>
                  <a:srgbClr val="D4C029"/>
                </a:solidFill>
                <a:latin typeface="Heuristica" panose="02020603050705020204" pitchFamily="18" charset="0"/>
              </a:rPr>
              <a:t>Exchange Rates: End of Period</a:t>
            </a:r>
          </a:p>
        </c:rich>
      </c:tx>
      <c:layout>
        <c:manualLayout>
          <c:xMode val="edge"/>
          <c:yMode val="edge"/>
          <c:x val="0.23078370702195947"/>
          <c:y val="1.7658315437842995E-2"/>
        </c:manualLayout>
      </c:layout>
      <c:overlay val="0"/>
    </c:title>
    <c:autoTitleDeleted val="0"/>
    <c:plotArea>
      <c:layout>
        <c:manualLayout>
          <c:layoutTarget val="inner"/>
          <c:xMode val="edge"/>
          <c:yMode val="edge"/>
          <c:x val="9.1337582069103529E-2"/>
          <c:y val="6.8566292849757418E-2"/>
          <c:w val="0.80594349643244745"/>
          <c:h val="0.74125777459635722"/>
        </c:manualLayout>
      </c:layout>
      <c:lineChart>
        <c:grouping val="standard"/>
        <c:varyColors val="0"/>
        <c:ser>
          <c:idx val="1"/>
          <c:order val="0"/>
          <c:tx>
            <c:v>GBP - Left Axis</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B2-66BC-4916-AC67-00B458DC50D2}"/>
                </c:ext>
              </c:extLst>
            </c:dLbl>
            <c:dLbl>
              <c:idx val="1"/>
              <c:delete val="1"/>
              <c:extLst>
                <c:ext xmlns:c15="http://schemas.microsoft.com/office/drawing/2012/chart" uri="{CE6537A1-D6FC-4f65-9D91-7224C49458BB}"/>
                <c:ext xmlns:c16="http://schemas.microsoft.com/office/drawing/2014/chart" uri="{C3380CC4-5D6E-409C-BE32-E72D297353CC}">
                  <c16:uniqueId val="{00000000-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1-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B3-66BC-4916-AC67-00B458DC50D2}"/>
                </c:ext>
              </c:extLst>
            </c:dLbl>
            <c:dLbl>
              <c:idx val="4"/>
              <c:delete val="1"/>
              <c:extLst>
                <c:ext xmlns:c15="http://schemas.microsoft.com/office/drawing/2012/chart" uri="{CE6537A1-D6FC-4f65-9D91-7224C49458BB}"/>
                <c:ext xmlns:c16="http://schemas.microsoft.com/office/drawing/2014/chart" uri="{C3380CC4-5D6E-409C-BE32-E72D297353CC}">
                  <c16:uniqueId val="{000000B5-66BC-4916-AC67-00B458DC50D2}"/>
                </c:ext>
              </c:extLst>
            </c:dLbl>
            <c:dLbl>
              <c:idx val="5"/>
              <c:delete val="1"/>
              <c:extLst>
                <c:ext xmlns:c15="http://schemas.microsoft.com/office/drawing/2012/chart" uri="{CE6537A1-D6FC-4f65-9D91-7224C49458BB}"/>
                <c:ext xmlns:c16="http://schemas.microsoft.com/office/drawing/2014/chart" uri="{C3380CC4-5D6E-409C-BE32-E72D297353CC}">
                  <c16:uniqueId val="{000000B4-66BC-4916-AC67-00B458DC50D2}"/>
                </c:ext>
              </c:extLst>
            </c:dLbl>
            <c:dLbl>
              <c:idx val="6"/>
              <c:delete val="1"/>
              <c:extLst>
                <c:ext xmlns:c15="http://schemas.microsoft.com/office/drawing/2012/chart" uri="{CE6537A1-D6FC-4f65-9D91-7224C49458BB}"/>
                <c:ext xmlns:c16="http://schemas.microsoft.com/office/drawing/2014/chart" uri="{C3380CC4-5D6E-409C-BE32-E72D297353CC}">
                  <c16:uniqueId val="{000000B8-66BC-4916-AC67-00B458DC50D2}"/>
                </c:ext>
              </c:extLst>
            </c:dLbl>
            <c:dLbl>
              <c:idx val="7"/>
              <c:delete val="1"/>
              <c:extLst>
                <c:ext xmlns:c15="http://schemas.microsoft.com/office/drawing/2012/chart" uri="{CE6537A1-D6FC-4f65-9D91-7224C49458BB}"/>
                <c:ext xmlns:c16="http://schemas.microsoft.com/office/drawing/2014/chart" uri="{C3380CC4-5D6E-409C-BE32-E72D297353CC}">
                  <c16:uniqueId val="{000000BA-66BC-4916-AC67-00B458DC50D2}"/>
                </c:ext>
              </c:extLst>
            </c:dLbl>
            <c:dLbl>
              <c:idx val="8"/>
              <c:delete val="1"/>
              <c:extLst>
                <c:ext xmlns:c15="http://schemas.microsoft.com/office/drawing/2012/chart" uri="{CE6537A1-D6FC-4f65-9D91-7224C49458BB}"/>
                <c:ext xmlns:c16="http://schemas.microsoft.com/office/drawing/2014/chart" uri="{C3380CC4-5D6E-409C-BE32-E72D297353CC}">
                  <c16:uniqueId val="{000000B9-66BC-4916-AC67-00B458DC50D2}"/>
                </c:ext>
              </c:extLst>
            </c:dLbl>
            <c:dLbl>
              <c:idx val="9"/>
              <c:delete val="1"/>
              <c:extLst>
                <c:ext xmlns:c15="http://schemas.microsoft.com/office/drawing/2012/chart" uri="{CE6537A1-D6FC-4f65-9D91-7224C49458BB}"/>
                <c:ext xmlns:c16="http://schemas.microsoft.com/office/drawing/2014/chart" uri="{C3380CC4-5D6E-409C-BE32-E72D297353CC}">
                  <c16:uniqueId val="{000000BC-66BC-4916-AC67-00B458DC50D2}"/>
                </c:ext>
              </c:extLst>
            </c:dLbl>
            <c:dLbl>
              <c:idx val="10"/>
              <c:delete val="1"/>
              <c:extLst>
                <c:ext xmlns:c15="http://schemas.microsoft.com/office/drawing/2012/chart" uri="{CE6537A1-D6FC-4f65-9D91-7224C49458BB}"/>
                <c:ext xmlns:c16="http://schemas.microsoft.com/office/drawing/2014/chart" uri="{C3380CC4-5D6E-409C-BE32-E72D297353CC}">
                  <c16:uniqueId val="{000000BB-66BC-4916-AC67-00B458DC50D2}"/>
                </c:ext>
              </c:extLst>
            </c:dLbl>
            <c:dLbl>
              <c:idx val="11"/>
              <c:delete val="1"/>
              <c:extLst>
                <c:ext xmlns:c15="http://schemas.microsoft.com/office/drawing/2012/chart" uri="{CE6537A1-D6FC-4f65-9D91-7224C49458BB}"/>
                <c:ext xmlns:c16="http://schemas.microsoft.com/office/drawing/2014/chart" uri="{C3380CC4-5D6E-409C-BE32-E72D297353CC}">
                  <c16:uniqueId val="{000000BD-66BC-4916-AC67-00B458DC50D2}"/>
                </c:ext>
              </c:extLst>
            </c:dLbl>
            <c:dLbl>
              <c:idx val="12"/>
              <c:delete val="1"/>
              <c:extLst>
                <c:ext xmlns:c15="http://schemas.microsoft.com/office/drawing/2012/chart" uri="{CE6537A1-D6FC-4f65-9D91-7224C49458BB}"/>
                <c:ext xmlns:c16="http://schemas.microsoft.com/office/drawing/2014/chart" uri="{C3380CC4-5D6E-409C-BE32-E72D297353CC}">
                  <c16:uniqueId val="{000000BE-66BC-4916-AC67-00B458DC50D2}"/>
                </c:ext>
              </c:extLst>
            </c:dLbl>
            <c:dLbl>
              <c:idx val="13"/>
              <c:delete val="1"/>
              <c:extLst>
                <c:ext xmlns:c15="http://schemas.microsoft.com/office/drawing/2012/chart" uri="{CE6537A1-D6FC-4f65-9D91-7224C49458BB}"/>
                <c:ext xmlns:c16="http://schemas.microsoft.com/office/drawing/2014/chart" uri="{C3380CC4-5D6E-409C-BE32-E72D297353CC}">
                  <c16:uniqueId val="{000000BF-66BC-4916-AC67-00B458DC50D2}"/>
                </c:ext>
              </c:extLst>
            </c:dLbl>
            <c:dLbl>
              <c:idx val="14"/>
              <c:delete val="1"/>
              <c:extLst>
                <c:ext xmlns:c15="http://schemas.microsoft.com/office/drawing/2012/chart" uri="{CE6537A1-D6FC-4f65-9D91-7224C49458BB}"/>
                <c:ext xmlns:c16="http://schemas.microsoft.com/office/drawing/2014/chart" uri="{C3380CC4-5D6E-409C-BE32-E72D297353CC}">
                  <c16:uniqueId val="{000000C1-66BC-4916-AC67-00B458DC50D2}"/>
                </c:ext>
              </c:extLst>
            </c:dLbl>
            <c:dLbl>
              <c:idx val="15"/>
              <c:delete val="1"/>
              <c:extLst>
                <c:ext xmlns:c15="http://schemas.microsoft.com/office/drawing/2012/chart" uri="{CE6537A1-D6FC-4f65-9D91-7224C49458BB}"/>
                <c:ext xmlns:c16="http://schemas.microsoft.com/office/drawing/2014/chart" uri="{C3380CC4-5D6E-409C-BE32-E72D297353CC}">
                  <c16:uniqueId val="{000000C0-66BC-4916-AC67-00B458DC50D2}"/>
                </c:ext>
              </c:extLst>
            </c:dLbl>
            <c:dLbl>
              <c:idx val="16"/>
              <c:delete val="1"/>
              <c:extLst>
                <c:ext xmlns:c15="http://schemas.microsoft.com/office/drawing/2012/chart" uri="{CE6537A1-D6FC-4f65-9D91-7224C49458BB}"/>
                <c:ext xmlns:c16="http://schemas.microsoft.com/office/drawing/2014/chart" uri="{C3380CC4-5D6E-409C-BE32-E72D297353CC}">
                  <c16:uniqueId val="{000000C3-66BC-4916-AC67-00B458DC50D2}"/>
                </c:ext>
              </c:extLst>
            </c:dLbl>
            <c:dLbl>
              <c:idx val="17"/>
              <c:delete val="1"/>
              <c:extLst>
                <c:ext xmlns:c15="http://schemas.microsoft.com/office/drawing/2012/chart" uri="{CE6537A1-D6FC-4f65-9D91-7224C49458BB}"/>
                <c:ext xmlns:c16="http://schemas.microsoft.com/office/drawing/2014/chart" uri="{C3380CC4-5D6E-409C-BE32-E72D297353CC}">
                  <c16:uniqueId val="{000000C2-66BC-4916-AC67-00B458DC50D2}"/>
                </c:ext>
              </c:extLst>
            </c:dLbl>
            <c:dLbl>
              <c:idx val="18"/>
              <c:delete val="1"/>
              <c:extLst>
                <c:ext xmlns:c15="http://schemas.microsoft.com/office/drawing/2012/chart" uri="{CE6537A1-D6FC-4f65-9D91-7224C49458BB}"/>
                <c:ext xmlns:c16="http://schemas.microsoft.com/office/drawing/2014/chart" uri="{C3380CC4-5D6E-409C-BE32-E72D297353CC}">
                  <c16:uniqueId val="{000000C5-66BC-4916-AC67-00B458DC50D2}"/>
                </c:ext>
              </c:extLst>
            </c:dLbl>
            <c:dLbl>
              <c:idx val="19"/>
              <c:delete val="1"/>
              <c:extLst>
                <c:ext xmlns:c15="http://schemas.microsoft.com/office/drawing/2012/chart" uri="{CE6537A1-D6FC-4f65-9D91-7224C49458BB}"/>
                <c:ext xmlns:c16="http://schemas.microsoft.com/office/drawing/2014/chart" uri="{C3380CC4-5D6E-409C-BE32-E72D297353CC}">
                  <c16:uniqueId val="{000000C4-66BC-4916-AC67-00B458DC50D2}"/>
                </c:ext>
              </c:extLst>
            </c:dLbl>
            <c:dLbl>
              <c:idx val="20"/>
              <c:delete val="1"/>
              <c:extLst>
                <c:ext xmlns:c15="http://schemas.microsoft.com/office/drawing/2012/chart" uri="{CE6537A1-D6FC-4f65-9D91-7224C49458BB}"/>
                <c:ext xmlns:c16="http://schemas.microsoft.com/office/drawing/2014/chart" uri="{C3380CC4-5D6E-409C-BE32-E72D297353CC}">
                  <c16:uniqueId val="{000000C7-66BC-4916-AC67-00B458DC50D2}"/>
                </c:ext>
              </c:extLst>
            </c:dLbl>
            <c:dLbl>
              <c:idx val="21"/>
              <c:delete val="1"/>
              <c:extLst>
                <c:ext xmlns:c15="http://schemas.microsoft.com/office/drawing/2012/chart" uri="{CE6537A1-D6FC-4f65-9D91-7224C49458BB}"/>
                <c:ext xmlns:c16="http://schemas.microsoft.com/office/drawing/2014/chart" uri="{C3380CC4-5D6E-409C-BE32-E72D297353CC}">
                  <c16:uniqueId val="{000000C6-66BC-4916-AC67-00B458DC50D2}"/>
                </c:ext>
              </c:extLst>
            </c:dLbl>
            <c:dLbl>
              <c:idx val="22"/>
              <c:delete val="1"/>
              <c:extLst>
                <c:ext xmlns:c15="http://schemas.microsoft.com/office/drawing/2012/chart" uri="{CE6537A1-D6FC-4f65-9D91-7224C49458BB}"/>
                <c:ext xmlns:c16="http://schemas.microsoft.com/office/drawing/2014/chart" uri="{C3380CC4-5D6E-409C-BE32-E72D297353CC}">
                  <c16:uniqueId val="{000000D2-66BC-4916-AC67-00B458DC50D2}"/>
                </c:ext>
              </c:extLst>
            </c:dLbl>
            <c:dLbl>
              <c:idx val="23"/>
              <c:delete val="1"/>
              <c:extLst>
                <c:ext xmlns:c15="http://schemas.microsoft.com/office/drawing/2012/chart" uri="{CE6537A1-D6FC-4f65-9D91-7224C49458BB}"/>
                <c:ext xmlns:c16="http://schemas.microsoft.com/office/drawing/2014/chart" uri="{C3380CC4-5D6E-409C-BE32-E72D297353CC}">
                  <c16:uniqueId val="{000000D1-66BC-4916-AC67-00B458DC50D2}"/>
                </c:ext>
              </c:extLst>
            </c:dLbl>
            <c:dLbl>
              <c:idx val="24"/>
              <c:delete val="1"/>
              <c:extLst>
                <c:ext xmlns:c15="http://schemas.microsoft.com/office/drawing/2012/chart" uri="{CE6537A1-D6FC-4f65-9D91-7224C49458BB}"/>
                <c:ext xmlns:c16="http://schemas.microsoft.com/office/drawing/2014/chart" uri="{C3380CC4-5D6E-409C-BE32-E72D297353CC}">
                  <c16:uniqueId val="{000000D0-66BC-4916-AC67-00B458DC50D2}"/>
                </c:ext>
              </c:extLst>
            </c:dLbl>
            <c:dLbl>
              <c:idx val="25"/>
              <c:delete val="1"/>
              <c:extLst>
                <c:ext xmlns:c15="http://schemas.microsoft.com/office/drawing/2012/chart" uri="{CE6537A1-D6FC-4f65-9D91-7224C49458BB}"/>
                <c:ext xmlns:c16="http://schemas.microsoft.com/office/drawing/2014/chart" uri="{C3380CC4-5D6E-409C-BE32-E72D297353CC}">
                  <c16:uniqueId val="{000000C8-66BC-4916-AC67-00B458DC50D2}"/>
                </c:ext>
              </c:extLst>
            </c:dLbl>
            <c:dLbl>
              <c:idx val="26"/>
              <c:delete val="1"/>
              <c:extLst>
                <c:ext xmlns:c15="http://schemas.microsoft.com/office/drawing/2012/chart" uri="{CE6537A1-D6FC-4f65-9D91-7224C49458BB}"/>
                <c:ext xmlns:c16="http://schemas.microsoft.com/office/drawing/2014/chart" uri="{C3380CC4-5D6E-409C-BE32-E72D297353CC}">
                  <c16:uniqueId val="{000000D3-66BC-4916-AC67-00B458DC50D2}"/>
                </c:ext>
              </c:extLst>
            </c:dLbl>
            <c:dLbl>
              <c:idx val="27"/>
              <c:delete val="1"/>
              <c:extLst>
                <c:ext xmlns:c15="http://schemas.microsoft.com/office/drawing/2012/chart" uri="{CE6537A1-D6FC-4f65-9D91-7224C49458BB}"/>
                <c:ext xmlns:c16="http://schemas.microsoft.com/office/drawing/2014/chart" uri="{C3380CC4-5D6E-409C-BE32-E72D297353CC}">
                  <c16:uniqueId val="{000000CF-66BC-4916-AC67-00B458DC50D2}"/>
                </c:ext>
              </c:extLst>
            </c:dLbl>
            <c:dLbl>
              <c:idx val="28"/>
              <c:delete val="1"/>
              <c:extLst>
                <c:ext xmlns:c15="http://schemas.microsoft.com/office/drawing/2012/chart" uri="{CE6537A1-D6FC-4f65-9D91-7224C49458BB}"/>
                <c:ext xmlns:c16="http://schemas.microsoft.com/office/drawing/2014/chart" uri="{C3380CC4-5D6E-409C-BE32-E72D297353CC}">
                  <c16:uniqueId val="{000000D4-66BC-4916-AC67-00B458DC50D2}"/>
                </c:ext>
              </c:extLst>
            </c:dLbl>
            <c:dLbl>
              <c:idx val="29"/>
              <c:delete val="1"/>
              <c:extLst>
                <c:ext xmlns:c15="http://schemas.microsoft.com/office/drawing/2012/chart" uri="{CE6537A1-D6FC-4f65-9D91-7224C49458BB}"/>
                <c:ext xmlns:c16="http://schemas.microsoft.com/office/drawing/2014/chart" uri="{C3380CC4-5D6E-409C-BE32-E72D297353CC}">
                  <c16:uniqueId val="{000000CD-66BC-4916-AC67-00B458DC50D2}"/>
                </c:ext>
              </c:extLst>
            </c:dLbl>
            <c:dLbl>
              <c:idx val="30"/>
              <c:delete val="1"/>
              <c:extLst>
                <c:ext xmlns:c15="http://schemas.microsoft.com/office/drawing/2012/chart" uri="{CE6537A1-D6FC-4f65-9D91-7224C49458BB}"/>
                <c:ext xmlns:c16="http://schemas.microsoft.com/office/drawing/2014/chart" uri="{C3380CC4-5D6E-409C-BE32-E72D297353CC}">
                  <c16:uniqueId val="{000000CE-66BC-4916-AC67-00B458DC50D2}"/>
                </c:ext>
              </c:extLst>
            </c:dLbl>
            <c:dLbl>
              <c:idx val="31"/>
              <c:delete val="1"/>
              <c:extLst>
                <c:ext xmlns:c15="http://schemas.microsoft.com/office/drawing/2012/chart" uri="{CE6537A1-D6FC-4f65-9D91-7224C49458BB}"/>
                <c:ext xmlns:c16="http://schemas.microsoft.com/office/drawing/2014/chart" uri="{C3380CC4-5D6E-409C-BE32-E72D297353CC}">
                  <c16:uniqueId val="{000000D5-66BC-4916-AC67-00B458DC50D2}"/>
                </c:ext>
              </c:extLst>
            </c:dLbl>
            <c:dLbl>
              <c:idx val="32"/>
              <c:delete val="1"/>
              <c:extLst>
                <c:ext xmlns:c15="http://schemas.microsoft.com/office/drawing/2012/chart" uri="{CE6537A1-D6FC-4f65-9D91-7224C49458BB}"/>
                <c:ext xmlns:c16="http://schemas.microsoft.com/office/drawing/2014/chart" uri="{C3380CC4-5D6E-409C-BE32-E72D297353CC}">
                  <c16:uniqueId val="{000000C9-66BC-4916-AC67-00B458DC50D2}"/>
                </c:ext>
              </c:extLst>
            </c:dLbl>
            <c:dLbl>
              <c:idx val="33"/>
              <c:delete val="1"/>
              <c:extLst>
                <c:ext xmlns:c15="http://schemas.microsoft.com/office/drawing/2012/chart" uri="{CE6537A1-D6FC-4f65-9D91-7224C49458BB}"/>
                <c:ext xmlns:c16="http://schemas.microsoft.com/office/drawing/2014/chart" uri="{C3380CC4-5D6E-409C-BE32-E72D297353CC}">
                  <c16:uniqueId val="{000000CC-66BC-4916-AC67-00B458DC50D2}"/>
                </c:ext>
              </c:extLst>
            </c:dLbl>
            <c:dLbl>
              <c:idx val="34"/>
              <c:delete val="1"/>
              <c:extLst>
                <c:ext xmlns:c15="http://schemas.microsoft.com/office/drawing/2012/chart" uri="{CE6537A1-D6FC-4f65-9D91-7224C49458BB}"/>
                <c:ext xmlns:c16="http://schemas.microsoft.com/office/drawing/2014/chart" uri="{C3380CC4-5D6E-409C-BE32-E72D297353CC}">
                  <c16:uniqueId val="{000000CB-66BC-4916-AC67-00B458DC50D2}"/>
                </c:ext>
              </c:extLst>
            </c:dLbl>
            <c:dLbl>
              <c:idx val="35"/>
              <c:delete val="1"/>
              <c:extLst>
                <c:ext xmlns:c15="http://schemas.microsoft.com/office/drawing/2012/chart" uri="{CE6537A1-D6FC-4f65-9D91-7224C49458BB}"/>
                <c:ext xmlns:c16="http://schemas.microsoft.com/office/drawing/2014/chart" uri="{C3380CC4-5D6E-409C-BE32-E72D297353CC}">
                  <c16:uniqueId val="{000000CA-66BC-4916-AC67-00B458DC50D2}"/>
                </c:ext>
              </c:extLst>
            </c:dLbl>
            <c:dLbl>
              <c:idx val="36"/>
              <c:delete val="1"/>
              <c:extLst>
                <c:ext xmlns:c15="http://schemas.microsoft.com/office/drawing/2012/chart" uri="{CE6537A1-D6FC-4f65-9D91-7224C49458BB}"/>
                <c:ext xmlns:c16="http://schemas.microsoft.com/office/drawing/2014/chart" uri="{C3380CC4-5D6E-409C-BE32-E72D297353CC}">
                  <c16:uniqueId val="{000000D7-66BC-4916-AC67-00B458DC50D2}"/>
                </c:ext>
              </c:extLst>
            </c:dLbl>
            <c:dLbl>
              <c:idx val="37"/>
              <c:delete val="1"/>
              <c:extLst>
                <c:ext xmlns:c15="http://schemas.microsoft.com/office/drawing/2012/chart" uri="{CE6537A1-D6FC-4f65-9D91-7224C49458BB}"/>
                <c:ext xmlns:c16="http://schemas.microsoft.com/office/drawing/2014/chart" uri="{C3380CC4-5D6E-409C-BE32-E72D297353CC}">
                  <c16:uniqueId val="{000000D6-66BC-4916-AC67-00B458DC50D2}"/>
                </c:ext>
              </c:extLst>
            </c:dLbl>
            <c:dLbl>
              <c:idx val="38"/>
              <c:delete val="1"/>
              <c:extLst>
                <c:ext xmlns:c15="http://schemas.microsoft.com/office/drawing/2012/chart" uri="{CE6537A1-D6FC-4f65-9D91-7224C49458BB}"/>
                <c:ext xmlns:c16="http://schemas.microsoft.com/office/drawing/2014/chart" uri="{C3380CC4-5D6E-409C-BE32-E72D297353CC}">
                  <c16:uniqueId val="{000000D8-66BC-4916-AC67-00B458DC50D2}"/>
                </c:ext>
              </c:extLst>
            </c:dLbl>
            <c:dLbl>
              <c:idx val="39"/>
              <c:delete val="1"/>
              <c:extLst>
                <c:ext xmlns:c15="http://schemas.microsoft.com/office/drawing/2012/chart" uri="{CE6537A1-D6FC-4f65-9D91-7224C49458BB}"/>
                <c:ext xmlns:c16="http://schemas.microsoft.com/office/drawing/2014/chart" uri="{C3380CC4-5D6E-409C-BE32-E72D297353CC}">
                  <c16:uniqueId val="{000000D9-66BC-4916-AC67-00B458DC50D2}"/>
                </c:ext>
              </c:extLst>
            </c:dLbl>
            <c:dLbl>
              <c:idx val="40"/>
              <c:delete val="1"/>
              <c:extLst>
                <c:ext xmlns:c15="http://schemas.microsoft.com/office/drawing/2012/chart" uri="{CE6537A1-D6FC-4f65-9D91-7224C49458BB}"/>
                <c:ext xmlns:c16="http://schemas.microsoft.com/office/drawing/2014/chart" uri="{C3380CC4-5D6E-409C-BE32-E72D297353CC}">
                  <c16:uniqueId val="{000000DA-66BC-4916-AC67-00B458DC50D2}"/>
                </c:ext>
              </c:extLst>
            </c:dLbl>
            <c:dLbl>
              <c:idx val="41"/>
              <c:delete val="1"/>
              <c:extLst>
                <c:ext xmlns:c15="http://schemas.microsoft.com/office/drawing/2012/chart" uri="{CE6537A1-D6FC-4f65-9D91-7224C49458BB}"/>
                <c:ext xmlns:c16="http://schemas.microsoft.com/office/drawing/2014/chart" uri="{C3380CC4-5D6E-409C-BE32-E72D297353CC}">
                  <c16:uniqueId val="{000000DC-66BC-4916-AC67-00B458DC50D2}"/>
                </c:ext>
              </c:extLst>
            </c:dLbl>
            <c:dLbl>
              <c:idx val="42"/>
              <c:delete val="1"/>
              <c:extLst>
                <c:ext xmlns:c15="http://schemas.microsoft.com/office/drawing/2012/chart" uri="{CE6537A1-D6FC-4f65-9D91-7224C49458BB}"/>
                <c:ext xmlns:c16="http://schemas.microsoft.com/office/drawing/2014/chart" uri="{C3380CC4-5D6E-409C-BE32-E72D297353CC}">
                  <c16:uniqueId val="{000000DB-66BC-4916-AC67-00B458DC50D2}"/>
                </c:ext>
              </c:extLst>
            </c:dLbl>
            <c:dLbl>
              <c:idx val="43"/>
              <c:delete val="1"/>
              <c:extLst>
                <c:ext xmlns:c15="http://schemas.microsoft.com/office/drawing/2012/chart" uri="{CE6537A1-D6FC-4f65-9D91-7224C49458BB}"/>
                <c:ext xmlns:c16="http://schemas.microsoft.com/office/drawing/2014/chart" uri="{C3380CC4-5D6E-409C-BE32-E72D297353CC}">
                  <c16:uniqueId val="{000000DF-66BC-4916-AC67-00B458DC50D2}"/>
                </c:ext>
              </c:extLst>
            </c:dLbl>
            <c:dLbl>
              <c:idx val="44"/>
              <c:delete val="1"/>
              <c:extLst>
                <c:ext xmlns:c15="http://schemas.microsoft.com/office/drawing/2012/chart" uri="{CE6537A1-D6FC-4f65-9D91-7224C49458BB}"/>
                <c:ext xmlns:c16="http://schemas.microsoft.com/office/drawing/2014/chart" uri="{C3380CC4-5D6E-409C-BE32-E72D297353CC}">
                  <c16:uniqueId val="{000000DD-66BC-4916-AC67-00B458DC50D2}"/>
                </c:ext>
              </c:extLst>
            </c:dLbl>
            <c:dLbl>
              <c:idx val="45"/>
              <c:delete val="1"/>
              <c:extLst>
                <c:ext xmlns:c15="http://schemas.microsoft.com/office/drawing/2012/chart" uri="{CE6537A1-D6FC-4f65-9D91-7224C49458BB}"/>
                <c:ext xmlns:c16="http://schemas.microsoft.com/office/drawing/2014/chart" uri="{C3380CC4-5D6E-409C-BE32-E72D297353CC}">
                  <c16:uniqueId val="{000000B1-66BC-4916-AC67-00B458DC50D2}"/>
                </c:ext>
              </c:extLst>
            </c:dLbl>
            <c:dLbl>
              <c:idx val="46"/>
              <c:delete val="1"/>
              <c:extLst>
                <c:ext xmlns:c15="http://schemas.microsoft.com/office/drawing/2012/chart" uri="{CE6537A1-D6FC-4f65-9D91-7224C49458BB}"/>
                <c:ext xmlns:c16="http://schemas.microsoft.com/office/drawing/2014/chart" uri="{C3380CC4-5D6E-409C-BE32-E72D297353CC}">
                  <c16:uniqueId val="{000000DE-66BC-4916-AC67-00B458DC50D2}"/>
                </c:ext>
              </c:extLst>
            </c:dLbl>
            <c:dLbl>
              <c:idx val="47"/>
              <c:delete val="1"/>
              <c:extLst>
                <c:ext xmlns:c15="http://schemas.microsoft.com/office/drawing/2012/chart" uri="{CE6537A1-D6FC-4f65-9D91-7224C49458BB}"/>
                <c:ext xmlns:c16="http://schemas.microsoft.com/office/drawing/2014/chart" uri="{C3380CC4-5D6E-409C-BE32-E72D297353CC}">
                  <c16:uniqueId val="{000000E0-66BC-4916-AC67-00B458DC50D2}"/>
                </c:ext>
              </c:extLst>
            </c:dLbl>
            <c:dLbl>
              <c:idx val="48"/>
              <c:delete val="1"/>
              <c:extLst>
                <c:ext xmlns:c15="http://schemas.microsoft.com/office/drawing/2012/chart" uri="{CE6537A1-D6FC-4f65-9D91-7224C49458BB}"/>
                <c:ext xmlns:c16="http://schemas.microsoft.com/office/drawing/2014/chart" uri="{C3380CC4-5D6E-409C-BE32-E72D297353CC}">
                  <c16:uniqueId val="{00000000-848D-440A-8D75-9BC56F2C29E3}"/>
                </c:ext>
              </c:extLst>
            </c:dLbl>
            <c:dLbl>
              <c:idx val="49"/>
              <c:delete val="1"/>
              <c:extLst>
                <c:ext xmlns:c15="http://schemas.microsoft.com/office/drawing/2012/chart" uri="{CE6537A1-D6FC-4f65-9D91-7224C49458BB}"/>
                <c:ext xmlns:c16="http://schemas.microsoft.com/office/drawing/2014/chart" uri="{C3380CC4-5D6E-409C-BE32-E72D297353CC}">
                  <c16:uniqueId val="{00000001-848D-440A-8D75-9BC56F2C29E3}"/>
                </c:ext>
              </c:extLst>
            </c:dLbl>
            <c:dLbl>
              <c:idx val="50"/>
              <c:delete val="1"/>
              <c:extLst>
                <c:ext xmlns:c15="http://schemas.microsoft.com/office/drawing/2012/chart" uri="{CE6537A1-D6FC-4f65-9D91-7224C49458BB}"/>
                <c:ext xmlns:c16="http://schemas.microsoft.com/office/drawing/2014/chart" uri="{C3380CC4-5D6E-409C-BE32-E72D297353CC}">
                  <c16:uniqueId val="{00000002-848D-440A-8D75-9BC56F2C29E3}"/>
                </c:ext>
              </c:extLst>
            </c:dLbl>
            <c:dLbl>
              <c:idx val="51"/>
              <c:delete val="1"/>
              <c:extLst>
                <c:ext xmlns:c15="http://schemas.microsoft.com/office/drawing/2012/chart" uri="{CE6537A1-D6FC-4f65-9D91-7224C49458BB}"/>
                <c:ext xmlns:c16="http://schemas.microsoft.com/office/drawing/2014/chart" uri="{C3380CC4-5D6E-409C-BE32-E72D297353CC}">
                  <c16:uniqueId val="{00000003-848D-440A-8D75-9BC56F2C29E3}"/>
                </c:ext>
              </c:extLst>
            </c:dLbl>
            <c:dLbl>
              <c:idx val="52"/>
              <c:delete val="1"/>
              <c:extLst>
                <c:ext xmlns:c15="http://schemas.microsoft.com/office/drawing/2012/chart" uri="{CE6537A1-D6FC-4f65-9D91-7224C49458BB}"/>
                <c:ext xmlns:c16="http://schemas.microsoft.com/office/drawing/2014/chart" uri="{C3380CC4-5D6E-409C-BE32-E72D297353CC}">
                  <c16:uniqueId val="{00000004-848D-440A-8D75-9BC56F2C29E3}"/>
                </c:ext>
              </c:extLst>
            </c:dLbl>
            <c:dLbl>
              <c:idx val="53"/>
              <c:delete val="1"/>
              <c:extLst>
                <c:ext xmlns:c15="http://schemas.microsoft.com/office/drawing/2012/chart" uri="{CE6537A1-D6FC-4f65-9D91-7224C49458BB}"/>
                <c:ext xmlns:c16="http://schemas.microsoft.com/office/drawing/2014/chart" uri="{C3380CC4-5D6E-409C-BE32-E72D297353CC}">
                  <c16:uniqueId val="{00000005-848D-440A-8D75-9BC56F2C29E3}"/>
                </c:ext>
              </c:extLst>
            </c:dLbl>
            <c:dLbl>
              <c:idx val="54"/>
              <c:delete val="1"/>
              <c:extLst>
                <c:ext xmlns:c15="http://schemas.microsoft.com/office/drawing/2012/chart" uri="{CE6537A1-D6FC-4f65-9D91-7224C49458BB}"/>
                <c:ext xmlns:c16="http://schemas.microsoft.com/office/drawing/2014/chart" uri="{C3380CC4-5D6E-409C-BE32-E72D297353CC}">
                  <c16:uniqueId val="{00000006-848D-440A-8D75-9BC56F2C29E3}"/>
                </c:ext>
              </c:extLst>
            </c:dLbl>
            <c:dLbl>
              <c:idx val="55"/>
              <c:delete val="1"/>
              <c:extLst>
                <c:ext xmlns:c15="http://schemas.microsoft.com/office/drawing/2012/chart" uri="{CE6537A1-D6FC-4f65-9D91-7224C49458BB}"/>
                <c:ext xmlns:c16="http://schemas.microsoft.com/office/drawing/2014/chart" uri="{C3380CC4-5D6E-409C-BE32-E72D297353CC}">
                  <c16:uniqueId val="{00000007-848D-440A-8D75-9BC56F2C29E3}"/>
                </c:ext>
              </c:extLst>
            </c:dLbl>
            <c:dLbl>
              <c:idx val="56"/>
              <c:delete val="1"/>
              <c:extLst>
                <c:ext xmlns:c15="http://schemas.microsoft.com/office/drawing/2012/chart" uri="{CE6537A1-D6FC-4f65-9D91-7224C49458BB}"/>
                <c:ext xmlns:c16="http://schemas.microsoft.com/office/drawing/2014/chart" uri="{C3380CC4-5D6E-409C-BE32-E72D297353CC}">
                  <c16:uniqueId val="{00000008-848D-440A-8D75-9BC56F2C29E3}"/>
                </c:ext>
              </c:extLst>
            </c:dLbl>
            <c:dLbl>
              <c:idx val="57"/>
              <c:delete val="1"/>
              <c:extLst>
                <c:ext xmlns:c15="http://schemas.microsoft.com/office/drawing/2012/chart" uri="{CE6537A1-D6FC-4f65-9D91-7224C49458BB}"/>
                <c:ext xmlns:c16="http://schemas.microsoft.com/office/drawing/2014/chart" uri="{C3380CC4-5D6E-409C-BE32-E72D297353CC}">
                  <c16:uniqueId val="{00000009-848D-440A-8D75-9BC56F2C29E3}"/>
                </c:ext>
              </c:extLst>
            </c:dLbl>
            <c:dLbl>
              <c:idx val="58"/>
              <c:delete val="1"/>
              <c:extLst>
                <c:ext xmlns:c15="http://schemas.microsoft.com/office/drawing/2012/chart" uri="{CE6537A1-D6FC-4f65-9D91-7224C49458BB}"/>
                <c:ext xmlns:c16="http://schemas.microsoft.com/office/drawing/2014/chart" uri="{C3380CC4-5D6E-409C-BE32-E72D297353CC}">
                  <c16:uniqueId val="{00000007-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0-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0-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2-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0-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7-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0-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0-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7-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0-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1-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6-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7-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7-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0-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7-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0-E23D-4ACE-9739-579FB0D0F4C8}"/>
                </c:ext>
              </c:extLst>
            </c:dLbl>
            <c:dLbl>
              <c:idx val="75"/>
              <c:delete val="1"/>
              <c:extLst>
                <c:ext xmlns:c15="http://schemas.microsoft.com/office/drawing/2012/chart" uri="{CE6537A1-D6FC-4f65-9D91-7224C49458BB}"/>
                <c:ext xmlns:c16="http://schemas.microsoft.com/office/drawing/2014/chart" uri="{C3380CC4-5D6E-409C-BE32-E72D297353CC}">
                  <c16:uniqueId val="{00000000-2F6A-4423-9810-7847C8DDC08A}"/>
                </c:ext>
              </c:extLst>
            </c:dLbl>
            <c:dLbl>
              <c:idx val="76"/>
              <c:layout>
                <c:manualLayout>
                  <c:x val="-5.865102639296188E-2"/>
                  <c:y val="-3.6363636363636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68B-4432-8AC7-4CD49DA871AB}"/>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6.2'!$A$150:$B$226</c:f>
              <c:multiLvlStrCache>
                <c:ptCount val="7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lvl>
                <c:lvl>
                  <c:pt idx="0">
                    <c:v>2020</c:v>
                  </c:pt>
                  <c:pt idx="12">
                    <c:v>2021</c:v>
                  </c:pt>
                  <c:pt idx="24">
                    <c:v>2022</c:v>
                  </c:pt>
                  <c:pt idx="36">
                    <c:v>2023</c:v>
                  </c:pt>
                  <c:pt idx="48">
                    <c:v>2024</c:v>
                  </c:pt>
                  <c:pt idx="60">
                    <c:v>2025</c:v>
                  </c:pt>
                  <c:pt idx="72">
                    <c:v>2026</c:v>
                  </c:pt>
                </c:lvl>
              </c:multiLvlStrCache>
            </c:multiLvlStrRef>
          </c:cat>
          <c:val>
            <c:numRef>
              <c:f>' 6.2'!$D$150:$D$226</c:f>
              <c:numCache>
                <c:formatCode>#,##0.000</c:formatCode>
                <c:ptCount val="77"/>
                <c:pt idx="0">
                  <c:v>1.8018000000000001</c:v>
                </c:pt>
                <c:pt idx="1">
                  <c:v>1.7855000000000001</c:v>
                </c:pt>
                <c:pt idx="2">
                  <c:v>1.7633000000000001</c:v>
                </c:pt>
                <c:pt idx="3">
                  <c:v>1.7770999999999999</c:v>
                </c:pt>
                <c:pt idx="4">
                  <c:v>1.7455000000000001</c:v>
                </c:pt>
                <c:pt idx="5">
                  <c:v>1.7282</c:v>
                </c:pt>
                <c:pt idx="6">
                  <c:v>1.7988</c:v>
                </c:pt>
                <c:pt idx="7">
                  <c:v>1.8186</c:v>
                </c:pt>
                <c:pt idx="8">
                  <c:v>1.7642</c:v>
                </c:pt>
                <c:pt idx="9">
                  <c:v>1.7699</c:v>
                </c:pt>
                <c:pt idx="10">
                  <c:v>1.7874000000000001</c:v>
                </c:pt>
                <c:pt idx="11">
                  <c:v>1.8061</c:v>
                </c:pt>
                <c:pt idx="12">
                  <c:v>1.8212999999999999</c:v>
                </c:pt>
                <c:pt idx="13">
                  <c:v>1.8559000000000001</c:v>
                </c:pt>
                <c:pt idx="14">
                  <c:v>1.8537999999999999</c:v>
                </c:pt>
                <c:pt idx="15">
                  <c:v>1.8381000000000001</c:v>
                </c:pt>
                <c:pt idx="16">
                  <c:v>1.8777999999999999</c:v>
                </c:pt>
                <c:pt idx="17">
                  <c:v>1.8608</c:v>
                </c:pt>
                <c:pt idx="18">
                  <c:v>1.8828</c:v>
                </c:pt>
                <c:pt idx="19">
                  <c:v>1.8498000000000001</c:v>
                </c:pt>
                <c:pt idx="20">
                  <c:v>1.8294999999999999</c:v>
                </c:pt>
                <c:pt idx="21">
                  <c:v>1.8460000000000001</c:v>
                </c:pt>
                <c:pt idx="22">
                  <c:v>1.8146</c:v>
                </c:pt>
                <c:pt idx="23">
                  <c:v>1.8243</c:v>
                </c:pt>
                <c:pt idx="24">
                  <c:v>1.8169999999999999</c:v>
                </c:pt>
                <c:pt idx="25">
                  <c:v>1.8178000000000001</c:v>
                </c:pt>
                <c:pt idx="26">
                  <c:v>1.7808999999999999</c:v>
                </c:pt>
                <c:pt idx="27">
                  <c:v>1.7392000000000001</c:v>
                </c:pt>
                <c:pt idx="28">
                  <c:v>1.7270000000000001</c:v>
                </c:pt>
                <c:pt idx="29">
                  <c:v>1.6920999999999999</c:v>
                </c:pt>
                <c:pt idx="30">
                  <c:v>1.6816</c:v>
                </c:pt>
                <c:pt idx="31">
                  <c:v>1.6240000000000001</c:v>
                </c:pt>
                <c:pt idx="32">
                  <c:v>1.6041000000000001</c:v>
                </c:pt>
                <c:pt idx="33">
                  <c:v>1.6240000000000001</c:v>
                </c:pt>
                <c:pt idx="34">
                  <c:v>1.6417999999999999</c:v>
                </c:pt>
                <c:pt idx="35">
                  <c:v>1.6220000000000001</c:v>
                </c:pt>
                <c:pt idx="36">
                  <c:v>1.6186</c:v>
                </c:pt>
                <c:pt idx="37">
                  <c:v>1.6211</c:v>
                </c:pt>
                <c:pt idx="38">
                  <c:v>1.6425000000000001</c:v>
                </c:pt>
                <c:pt idx="39">
                  <c:v>1.6777</c:v>
                </c:pt>
                <c:pt idx="40">
                  <c:v>1.6818</c:v>
                </c:pt>
                <c:pt idx="41">
                  <c:v>1.7166999999999999</c:v>
                </c:pt>
                <c:pt idx="42">
                  <c:v>1.7065999999999999</c:v>
                </c:pt>
                <c:pt idx="43">
                  <c:v>1.7124999999999999</c:v>
                </c:pt>
                <c:pt idx="44">
                  <c:v>1.6669</c:v>
                </c:pt>
                <c:pt idx="45">
                  <c:v>1.6645000000000001</c:v>
                </c:pt>
                <c:pt idx="46">
                  <c:v>1.6881999999999999</c:v>
                </c:pt>
                <c:pt idx="47">
                  <c:v>1.68</c:v>
                </c:pt>
                <c:pt idx="48">
                  <c:v>1.7007000000000001</c:v>
                </c:pt>
                <c:pt idx="49">
                  <c:v>1.6988000000000001</c:v>
                </c:pt>
                <c:pt idx="50">
                  <c:v>1.7034</c:v>
                </c:pt>
                <c:pt idx="51">
                  <c:v>1.7034</c:v>
                </c:pt>
                <c:pt idx="52">
                  <c:v>1.7218</c:v>
                </c:pt>
                <c:pt idx="53">
                  <c:v>1.7146999999999999</c:v>
                </c:pt>
                <c:pt idx="54">
                  <c:v>1.7146999999999999</c:v>
                </c:pt>
                <c:pt idx="55">
                  <c:v>1.7153</c:v>
                </c:pt>
                <c:pt idx="56">
                  <c:v>1.7190000000000001</c:v>
                </c:pt>
                <c:pt idx="57">
                  <c:v>1.7023999999999999</c:v>
                </c:pt>
                <c:pt idx="58">
                  <c:v>1.706</c:v>
                </c:pt>
                <c:pt idx="59">
                  <c:v>1.7085999999999999</c:v>
                </c:pt>
                <c:pt idx="60">
                  <c:v>1.6826000000000001</c:v>
                </c:pt>
                <c:pt idx="61">
                  <c:v>1.6999</c:v>
                </c:pt>
                <c:pt idx="62">
                  <c:v>1.7350000000000001</c:v>
                </c:pt>
                <c:pt idx="63">
                  <c:v>1.7416</c:v>
                </c:pt>
                <c:pt idx="64">
                  <c:v>1.7369000000000001</c:v>
                </c:pt>
                <c:pt idx="65">
                  <c:v>1.7463</c:v>
                </c:pt>
                <c:pt idx="66">
                  <c:v>1.7143999999999999</c:v>
                </c:pt>
                <c:pt idx="67">
                  <c:v>1.7338</c:v>
                </c:pt>
                <c:pt idx="68">
                  <c:v>1.7343</c:v>
                </c:pt>
                <c:pt idx="69">
                  <c:v>1.7110000000000001</c:v>
                </c:pt>
                <c:pt idx="70">
                  <c:v>1.7159</c:v>
                </c:pt>
                <c:pt idx="71">
                  <c:v>1.7323</c:v>
                </c:pt>
                <c:pt idx="72">
                  <c:v>1.7402</c:v>
                </c:pt>
                <c:pt idx="73">
                  <c:v>1.7056</c:v>
                </c:pt>
                <c:pt idx="74">
                  <c:v>1.7020999999999999</c:v>
                </c:pt>
                <c:pt idx="75">
                  <c:v>1.7319</c:v>
                </c:pt>
                <c:pt idx="76">
                  <c:v>1.7178</c:v>
                </c:pt>
              </c:numCache>
            </c:numRef>
          </c:val>
          <c:smooth val="0"/>
          <c:extLst>
            <c:ext xmlns:c16="http://schemas.microsoft.com/office/drawing/2014/chart" uri="{C3380CC4-5D6E-409C-BE32-E72D297353CC}">
              <c16:uniqueId val="{00000047-848D-440A-8D75-9BC56F2C29E3}"/>
            </c:ext>
          </c:extLst>
        </c:ser>
        <c:ser>
          <c:idx val="0"/>
          <c:order val="1"/>
          <c:tx>
            <c:v>USD - Left Axis</c:v>
          </c:tx>
          <c:spPr>
            <a:ln>
              <a:solidFill>
                <a:srgbClr val="EEE8B5"/>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A-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9-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05-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06-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07-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08-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09-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0A-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0B-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0C-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0D-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0E-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0F-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10-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11-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12-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13-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14-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15-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16-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17-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18-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19-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1A-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1B-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1C-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1D-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1E-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1F-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20-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21-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22-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23-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24-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25-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26-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27-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28-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29-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2A-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2B-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2C-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2D-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2E-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2F-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30-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31-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32-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33-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34-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35-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36-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37-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38-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39-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3A-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3B-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4-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3-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3-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D-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3-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6-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3-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3-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4-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6-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7-9C3D-4503-8C80-9DEE00A4B441}"/>
                </c:ext>
              </c:extLst>
            </c:dLbl>
            <c:dLbl>
              <c:idx val="69"/>
              <c:delete val="1"/>
              <c:extLst>
                <c:ext xmlns:c15="http://schemas.microsoft.com/office/drawing/2012/chart" uri="{CE6537A1-D6FC-4f65-9D91-7224C49458BB}">
                  <c15:layout>
                    <c:manualLayout>
                      <c:w val="2.6446763802618511E-2"/>
                      <c:h val="2.0989952013574061E-2"/>
                    </c:manualLayout>
                  </c15:layout>
                </c:ext>
                <c:ext xmlns:c16="http://schemas.microsoft.com/office/drawing/2014/chart" uri="{C3380CC4-5D6E-409C-BE32-E72D297353CC}">
                  <c16:uniqueId val="{00000004-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4-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4-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3-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4-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3-E23D-4ACE-9739-579FB0D0F4C8}"/>
                </c:ext>
              </c:extLst>
            </c:dLbl>
            <c:dLbl>
              <c:idx val="75"/>
              <c:delete val="1"/>
              <c:extLst>
                <c:ext xmlns:c15="http://schemas.microsoft.com/office/drawing/2012/chart" uri="{CE6537A1-D6FC-4f65-9D91-7224C49458BB}"/>
                <c:ext xmlns:c16="http://schemas.microsoft.com/office/drawing/2014/chart" uri="{C3380CC4-5D6E-409C-BE32-E72D297353CC}">
                  <c16:uniqueId val="{00000003-2F6A-4423-9810-7847C8DDC08A}"/>
                </c:ext>
              </c:extLst>
            </c:dLbl>
            <c:dLbl>
              <c:idx val="76"/>
              <c:layout>
                <c:manualLayout>
                  <c:x val="-7.6246334310850442E-2"/>
                  <c:y val="3.23232323232322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8B-4432-8AC7-4CD49DA871AB}"/>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6.2'!$A$150:$B$226</c:f>
              <c:multiLvlStrCache>
                <c:ptCount val="7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lvl>
                <c:lvl>
                  <c:pt idx="0">
                    <c:v>2020</c:v>
                  </c:pt>
                  <c:pt idx="12">
                    <c:v>2021</c:v>
                  </c:pt>
                  <c:pt idx="24">
                    <c:v>2022</c:v>
                  </c:pt>
                  <c:pt idx="36">
                    <c:v>2023</c:v>
                  </c:pt>
                  <c:pt idx="48">
                    <c:v>2024</c:v>
                  </c:pt>
                  <c:pt idx="60">
                    <c:v>2025</c:v>
                  </c:pt>
                  <c:pt idx="72">
                    <c:v>2026</c:v>
                  </c:pt>
                </c:lvl>
              </c:multiLvlStrCache>
            </c:multiLvlStrRef>
          </c:cat>
          <c:val>
            <c:numRef>
              <c:f>' 6.2'!$C$150:$C$226</c:f>
              <c:numCache>
                <c:formatCode>#,##0.000</c:formatCode>
                <c:ptCount val="77"/>
                <c:pt idx="0">
                  <c:v>1.3648</c:v>
                </c:pt>
                <c:pt idx="1">
                  <c:v>1.3932</c:v>
                </c:pt>
                <c:pt idx="2">
                  <c:v>1.4219999999999999</c:v>
                </c:pt>
                <c:pt idx="3">
                  <c:v>1.4098999999999999</c:v>
                </c:pt>
                <c:pt idx="4">
                  <c:v>1.4135</c:v>
                </c:pt>
                <c:pt idx="5">
                  <c:v>1.3935999999999999</c:v>
                </c:pt>
                <c:pt idx="6">
                  <c:v>1.3745000000000001</c:v>
                </c:pt>
                <c:pt idx="7">
                  <c:v>1.3603000000000001</c:v>
                </c:pt>
                <c:pt idx="8">
                  <c:v>1.3653999999999999</c:v>
                </c:pt>
                <c:pt idx="9">
                  <c:v>1.3664000000000001</c:v>
                </c:pt>
                <c:pt idx="10">
                  <c:v>1.3416999999999999</c:v>
                </c:pt>
                <c:pt idx="11">
                  <c:v>1.3221000000000001</c:v>
                </c:pt>
                <c:pt idx="12">
                  <c:v>1.329</c:v>
                </c:pt>
                <c:pt idx="13">
                  <c:v>1.3326</c:v>
                </c:pt>
                <c:pt idx="14">
                  <c:v>1.3448</c:v>
                </c:pt>
                <c:pt idx="15">
                  <c:v>1.3308</c:v>
                </c:pt>
                <c:pt idx="16">
                  <c:v>1.3217000000000001</c:v>
                </c:pt>
                <c:pt idx="17">
                  <c:v>1.3453999999999999</c:v>
                </c:pt>
                <c:pt idx="18">
                  <c:v>1.3544</c:v>
                </c:pt>
                <c:pt idx="19">
                  <c:v>1.3449</c:v>
                </c:pt>
                <c:pt idx="20">
                  <c:v>1.3576999999999999</c:v>
                </c:pt>
                <c:pt idx="21">
                  <c:v>1.3488</c:v>
                </c:pt>
                <c:pt idx="22">
                  <c:v>1.365</c:v>
                </c:pt>
                <c:pt idx="23">
                  <c:v>1.349</c:v>
                </c:pt>
                <c:pt idx="24">
                  <c:v>1.3512999999999999</c:v>
                </c:pt>
                <c:pt idx="25">
                  <c:v>1.3549</c:v>
                </c:pt>
                <c:pt idx="26">
                  <c:v>1.3545</c:v>
                </c:pt>
                <c:pt idx="27">
                  <c:v>1.3834</c:v>
                </c:pt>
                <c:pt idx="28">
                  <c:v>1.3698999999999999</c:v>
                </c:pt>
                <c:pt idx="29">
                  <c:v>1.3905000000000001</c:v>
                </c:pt>
                <c:pt idx="30">
                  <c:v>1.3805000000000001</c:v>
                </c:pt>
                <c:pt idx="31">
                  <c:v>1.3971</c:v>
                </c:pt>
                <c:pt idx="32">
                  <c:v>1.4353</c:v>
                </c:pt>
                <c:pt idx="33">
                  <c:v>1.4165000000000001</c:v>
                </c:pt>
                <c:pt idx="34">
                  <c:v>1.3614999999999999</c:v>
                </c:pt>
                <c:pt idx="35">
                  <c:v>1.3394999999999999</c:v>
                </c:pt>
                <c:pt idx="36">
                  <c:v>1.3139000000000001</c:v>
                </c:pt>
                <c:pt idx="37">
                  <c:v>1.3484</c:v>
                </c:pt>
                <c:pt idx="38">
                  <c:v>1.3309</c:v>
                </c:pt>
                <c:pt idx="39">
                  <c:v>1.3344</c:v>
                </c:pt>
                <c:pt idx="40">
                  <c:v>1.3516999999999999</c:v>
                </c:pt>
                <c:pt idx="41">
                  <c:v>1.3524</c:v>
                </c:pt>
                <c:pt idx="42">
                  <c:v>1.3295999999999999</c:v>
                </c:pt>
                <c:pt idx="43">
                  <c:v>1.3512</c:v>
                </c:pt>
                <c:pt idx="44">
                  <c:v>1.3662000000000001</c:v>
                </c:pt>
                <c:pt idx="45">
                  <c:v>1.3696999999999999</c:v>
                </c:pt>
                <c:pt idx="46">
                  <c:v>1.3372999999999999</c:v>
                </c:pt>
                <c:pt idx="47">
                  <c:v>1.3203</c:v>
                </c:pt>
                <c:pt idx="48">
                  <c:v>1.3408</c:v>
                </c:pt>
                <c:pt idx="49">
                  <c:v>1.3456999999999999</c:v>
                </c:pt>
                <c:pt idx="50">
                  <c:v>1.3492999999999999</c:v>
                </c:pt>
                <c:pt idx="51">
                  <c:v>1.3654999999999999</c:v>
                </c:pt>
                <c:pt idx="52">
                  <c:v>1.3512</c:v>
                </c:pt>
                <c:pt idx="53">
                  <c:v>1.3560000000000001</c:v>
                </c:pt>
                <c:pt idx="54">
                  <c:v>1.3360000000000001</c:v>
                </c:pt>
                <c:pt idx="55">
                  <c:v>1.3067</c:v>
                </c:pt>
                <c:pt idx="56">
                  <c:v>1.2849999999999999</c:v>
                </c:pt>
                <c:pt idx="57">
                  <c:v>1.3198000000000001</c:v>
                </c:pt>
                <c:pt idx="58">
                  <c:v>1.34</c:v>
                </c:pt>
                <c:pt idx="59">
                  <c:v>1.3656999999999999</c:v>
                </c:pt>
                <c:pt idx="60">
                  <c:v>1.3568</c:v>
                </c:pt>
                <c:pt idx="61">
                  <c:v>1.3513999999999999</c:v>
                </c:pt>
                <c:pt idx="62">
                  <c:v>1.343</c:v>
                </c:pt>
                <c:pt idx="63">
                  <c:v>1.3063</c:v>
                </c:pt>
                <c:pt idx="64">
                  <c:v>1.2909999999999999</c:v>
                </c:pt>
                <c:pt idx="65">
                  <c:v>1.2716000000000001</c:v>
                </c:pt>
                <c:pt idx="66">
                  <c:v>1.2981</c:v>
                </c:pt>
                <c:pt idx="67">
                  <c:v>1.284</c:v>
                </c:pt>
                <c:pt idx="68">
                  <c:v>1.2901</c:v>
                </c:pt>
                <c:pt idx="69">
                  <c:v>1.3009999999999999</c:v>
                </c:pt>
                <c:pt idx="70">
                  <c:v>1.2967</c:v>
                </c:pt>
                <c:pt idx="71">
                  <c:v>1.2854000000000001</c:v>
                </c:pt>
                <c:pt idx="72">
                  <c:v>1.2703</c:v>
                </c:pt>
                <c:pt idx="73">
                  <c:v>1.2650999999999999</c:v>
                </c:pt>
                <c:pt idx="74">
                  <c:v>1.2867999999999999</c:v>
                </c:pt>
                <c:pt idx="75">
                  <c:v>1.2732000000000001</c:v>
                </c:pt>
                <c:pt idx="76">
                  <c:v>1.2766</c:v>
                </c:pt>
              </c:numCache>
            </c:numRef>
          </c:val>
          <c:smooth val="0"/>
          <c:extLst>
            <c:ext xmlns:c16="http://schemas.microsoft.com/office/drawing/2014/chart" uri="{C3380CC4-5D6E-409C-BE32-E72D297353CC}">
              <c16:uniqueId val="{0000008F-848D-440A-8D75-9BC56F2C29E3}"/>
            </c:ext>
          </c:extLst>
        </c:ser>
        <c:ser>
          <c:idx val="2"/>
          <c:order val="2"/>
          <c:tx>
            <c:v>AUD - Left Axis</c:v>
          </c:tx>
          <c:spPr>
            <a:ln>
              <a:solidFill>
                <a:schemeClr val="tx1">
                  <a:lumMod val="50000"/>
                  <a:lumOff val="5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BB-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E-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10-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BD-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BF-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C0-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C2-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C1-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C3-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C4-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C6-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C5-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C7-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C9-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C8-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CA-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CB-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CC-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CD-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CE-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CF-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D0-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D1-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D3-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D2-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D5-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D4-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D6-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D8-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D7-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D9-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DB-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DA-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DC-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DF-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DE-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E1-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E0-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E2-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E3-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E4-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E6-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E5-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E7-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E9-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E8-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EA-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EC-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EB-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ED-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EE-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F1-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EF-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F0-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F3-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F2-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F4-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F6-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3-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5-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5-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3-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5-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2-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5-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5-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3-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D-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A-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2-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2-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3-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4-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3-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4-E23D-4ACE-9739-579FB0D0F4C8}"/>
                </c:ext>
              </c:extLst>
            </c:dLbl>
            <c:dLbl>
              <c:idx val="75"/>
              <c:delete val="1"/>
              <c:extLst>
                <c:ext xmlns:c15="http://schemas.microsoft.com/office/drawing/2012/chart" uri="{CE6537A1-D6FC-4f65-9D91-7224C49458BB}"/>
                <c:ext xmlns:c16="http://schemas.microsoft.com/office/drawing/2014/chart" uri="{C3380CC4-5D6E-409C-BE32-E72D297353CC}">
                  <c16:uniqueId val="{00000004-2F6A-4423-9810-7847C8DDC08A}"/>
                </c:ext>
              </c:extLst>
            </c:dLbl>
            <c:dLbl>
              <c:idx val="76"/>
              <c:layout>
                <c:manualLayout>
                  <c:x val="-7.1847507331378305E-2"/>
                  <c:y val="-2.22222222222222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8B-4432-8AC7-4CD49DA871AB}"/>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6.2'!$A$150:$B$226</c:f>
              <c:multiLvlStrCache>
                <c:ptCount val="7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lvl>
                <c:lvl>
                  <c:pt idx="0">
                    <c:v>2020</c:v>
                  </c:pt>
                  <c:pt idx="12">
                    <c:v>2021</c:v>
                  </c:pt>
                  <c:pt idx="24">
                    <c:v>2022</c:v>
                  </c:pt>
                  <c:pt idx="36">
                    <c:v>2023</c:v>
                  </c:pt>
                  <c:pt idx="48">
                    <c:v>2024</c:v>
                  </c:pt>
                  <c:pt idx="60">
                    <c:v>2025</c:v>
                  </c:pt>
                  <c:pt idx="72">
                    <c:v>2026</c:v>
                  </c:pt>
                </c:lvl>
              </c:multiLvlStrCache>
            </c:multiLvlStrRef>
          </c:cat>
          <c:val>
            <c:numRef>
              <c:f>' 6.2'!$E$150:$E$226</c:f>
              <c:numCache>
                <c:formatCode>#,##0.000</c:formatCode>
                <c:ptCount val="77"/>
                <c:pt idx="0">
                  <c:v>0.91279999999999994</c:v>
                </c:pt>
                <c:pt idx="1">
                  <c:v>0.90669999999999995</c:v>
                </c:pt>
                <c:pt idx="2">
                  <c:v>0.87270000000000003</c:v>
                </c:pt>
                <c:pt idx="3">
                  <c:v>0.91890000000000005</c:v>
                </c:pt>
                <c:pt idx="4">
                  <c:v>0.94140000000000001</c:v>
                </c:pt>
                <c:pt idx="5">
                  <c:v>0.96199999999999997</c:v>
                </c:pt>
                <c:pt idx="6">
                  <c:v>0.9819</c:v>
                </c:pt>
                <c:pt idx="7">
                  <c:v>1.0033000000000001</c:v>
                </c:pt>
                <c:pt idx="8">
                  <c:v>0.97789999999999999</c:v>
                </c:pt>
                <c:pt idx="9">
                  <c:v>0.96040000000000003</c:v>
                </c:pt>
                <c:pt idx="10">
                  <c:v>0.98529999999999995</c:v>
                </c:pt>
                <c:pt idx="11">
                  <c:v>1.0167999999999999</c:v>
                </c:pt>
                <c:pt idx="12">
                  <c:v>1.016</c:v>
                </c:pt>
                <c:pt idx="13">
                  <c:v>1.0268999999999999</c:v>
                </c:pt>
                <c:pt idx="14">
                  <c:v>1.0221</c:v>
                </c:pt>
                <c:pt idx="15">
                  <c:v>1.0264</c:v>
                </c:pt>
                <c:pt idx="16">
                  <c:v>1.0218</c:v>
                </c:pt>
                <c:pt idx="17">
                  <c:v>1.0088999999999999</c:v>
                </c:pt>
                <c:pt idx="18">
                  <c:v>0.99470000000000003</c:v>
                </c:pt>
                <c:pt idx="19">
                  <c:v>0.98370000000000002</c:v>
                </c:pt>
                <c:pt idx="20">
                  <c:v>0.98129999999999995</c:v>
                </c:pt>
                <c:pt idx="21">
                  <c:v>1.0142</c:v>
                </c:pt>
                <c:pt idx="22">
                  <c:v>0.97230000000000005</c:v>
                </c:pt>
                <c:pt idx="23">
                  <c:v>0.98</c:v>
                </c:pt>
                <c:pt idx="24">
                  <c:v>0.95520000000000005</c:v>
                </c:pt>
                <c:pt idx="25">
                  <c:v>0.98409999999999997</c:v>
                </c:pt>
                <c:pt idx="26">
                  <c:v>1.0141</c:v>
                </c:pt>
                <c:pt idx="27">
                  <c:v>0.97670000000000001</c:v>
                </c:pt>
                <c:pt idx="28">
                  <c:v>0.98350000000000004</c:v>
                </c:pt>
                <c:pt idx="29">
                  <c:v>0.95930000000000004</c:v>
                </c:pt>
                <c:pt idx="30">
                  <c:v>0.96519999999999995</c:v>
                </c:pt>
                <c:pt idx="31">
                  <c:v>0.95609999999999995</c:v>
                </c:pt>
                <c:pt idx="32">
                  <c:v>0.91949999999999998</c:v>
                </c:pt>
                <c:pt idx="33">
                  <c:v>0.90620000000000001</c:v>
                </c:pt>
                <c:pt idx="34">
                  <c:v>0.92420000000000002</c:v>
                </c:pt>
                <c:pt idx="35">
                  <c:v>0.91379999999999995</c:v>
                </c:pt>
                <c:pt idx="36">
                  <c:v>0.92689999999999995</c:v>
                </c:pt>
                <c:pt idx="37">
                  <c:v>0.90739999999999998</c:v>
                </c:pt>
                <c:pt idx="38">
                  <c:v>0.88980000000000004</c:v>
                </c:pt>
                <c:pt idx="39">
                  <c:v>0.88349999999999995</c:v>
                </c:pt>
                <c:pt idx="40">
                  <c:v>0.87919999999999998</c:v>
                </c:pt>
                <c:pt idx="41">
                  <c:v>0.90090000000000003</c:v>
                </c:pt>
                <c:pt idx="42">
                  <c:v>0.8931</c:v>
                </c:pt>
                <c:pt idx="43">
                  <c:v>0.87629999999999997</c:v>
                </c:pt>
                <c:pt idx="44">
                  <c:v>0.87909999999999999</c:v>
                </c:pt>
                <c:pt idx="45">
                  <c:v>0.86819999999999997</c:v>
                </c:pt>
                <c:pt idx="46">
                  <c:v>0.88329999999999997</c:v>
                </c:pt>
                <c:pt idx="47">
                  <c:v>0.89870000000000005</c:v>
                </c:pt>
                <c:pt idx="48">
                  <c:v>0.88029999999999997</c:v>
                </c:pt>
                <c:pt idx="49">
                  <c:v>0.87439999999999996</c:v>
                </c:pt>
                <c:pt idx="50">
                  <c:v>0.87970000000000004</c:v>
                </c:pt>
                <c:pt idx="51">
                  <c:v>0.88370000000000004</c:v>
                </c:pt>
                <c:pt idx="52">
                  <c:v>0.89890000000000003</c:v>
                </c:pt>
                <c:pt idx="53">
                  <c:v>0.90449999999999997</c:v>
                </c:pt>
                <c:pt idx="54">
                  <c:v>0.874</c:v>
                </c:pt>
                <c:pt idx="55">
                  <c:v>0.88449999999999995</c:v>
                </c:pt>
                <c:pt idx="56">
                  <c:v>0.88800000000000001</c:v>
                </c:pt>
                <c:pt idx="57">
                  <c:v>0.86870000000000003</c:v>
                </c:pt>
                <c:pt idx="58">
                  <c:v>0.872</c:v>
                </c:pt>
                <c:pt idx="59">
                  <c:v>0.84499999999999997</c:v>
                </c:pt>
                <c:pt idx="60">
                  <c:v>0.84279999999999999</c:v>
                </c:pt>
                <c:pt idx="61">
                  <c:v>0.83899999999999997</c:v>
                </c:pt>
                <c:pt idx="62">
                  <c:v>0.83899999999999997</c:v>
                </c:pt>
                <c:pt idx="63">
                  <c:v>0.83660000000000001</c:v>
                </c:pt>
                <c:pt idx="64">
                  <c:v>0.83030000000000004</c:v>
                </c:pt>
                <c:pt idx="65">
                  <c:v>0.83679999999999999</c:v>
                </c:pt>
                <c:pt idx="66">
                  <c:v>0.83399999999999996</c:v>
                </c:pt>
                <c:pt idx="67">
                  <c:v>0.8397</c:v>
                </c:pt>
                <c:pt idx="68">
                  <c:v>0.85319999999999996</c:v>
                </c:pt>
                <c:pt idx="69">
                  <c:v>0.85199999999999998</c:v>
                </c:pt>
                <c:pt idx="70">
                  <c:v>0.84930000000000005</c:v>
                </c:pt>
                <c:pt idx="71">
                  <c:v>0.8579</c:v>
                </c:pt>
                <c:pt idx="72">
                  <c:v>0.88480000000000003</c:v>
                </c:pt>
                <c:pt idx="73">
                  <c:v>0.9</c:v>
                </c:pt>
                <c:pt idx="74">
                  <c:v>0.88780000000000003</c:v>
                </c:pt>
                <c:pt idx="75">
                  <c:v>0.91690000000000005</c:v>
                </c:pt>
                <c:pt idx="76">
                  <c:v>0.91700000000000004</c:v>
                </c:pt>
              </c:numCache>
            </c:numRef>
          </c:val>
          <c:smooth val="0"/>
          <c:extLst>
            <c:ext xmlns:c16="http://schemas.microsoft.com/office/drawing/2014/chart" uri="{C3380CC4-5D6E-409C-BE32-E72D297353CC}">
              <c16:uniqueId val="{000000D7-848D-440A-8D75-9BC56F2C29E3}"/>
            </c:ext>
          </c:extLst>
        </c:ser>
        <c:ser>
          <c:idx val="3"/>
          <c:order val="3"/>
          <c:tx>
            <c:v>EUR - Left Axis</c:v>
          </c:tx>
          <c:spPr>
            <a:ln>
              <a:solidFill>
                <a:srgbClr val="96CAC4"/>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E1-66BC-4916-AC67-00B458DC50D2}"/>
                </c:ext>
              </c:extLst>
            </c:dLbl>
            <c:dLbl>
              <c:idx val="1"/>
              <c:delete val="1"/>
              <c:extLst>
                <c:ext xmlns:c15="http://schemas.microsoft.com/office/drawing/2012/chart" uri="{CE6537A1-D6FC-4f65-9D91-7224C49458BB}"/>
                <c:ext xmlns:c16="http://schemas.microsoft.com/office/drawing/2014/chart" uri="{C3380CC4-5D6E-409C-BE32-E72D297353CC}">
                  <c16:uniqueId val="{00000005-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3-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E5-66BC-4916-AC67-00B458DC50D2}"/>
                </c:ext>
              </c:extLst>
            </c:dLbl>
            <c:dLbl>
              <c:idx val="4"/>
              <c:delete val="1"/>
              <c:extLst>
                <c:ext xmlns:c15="http://schemas.microsoft.com/office/drawing/2012/chart" uri="{CE6537A1-D6FC-4f65-9D91-7224C49458BB}"/>
                <c:ext xmlns:c16="http://schemas.microsoft.com/office/drawing/2014/chart" uri="{C3380CC4-5D6E-409C-BE32-E72D297353CC}">
                  <c16:uniqueId val="{000000E4-66BC-4916-AC67-00B458DC50D2}"/>
                </c:ext>
              </c:extLst>
            </c:dLbl>
            <c:dLbl>
              <c:idx val="5"/>
              <c:delete val="1"/>
              <c:extLst>
                <c:ext xmlns:c15="http://schemas.microsoft.com/office/drawing/2012/chart" uri="{CE6537A1-D6FC-4f65-9D91-7224C49458BB}"/>
                <c:ext xmlns:c16="http://schemas.microsoft.com/office/drawing/2014/chart" uri="{C3380CC4-5D6E-409C-BE32-E72D297353CC}">
                  <c16:uniqueId val="{000000E6-66BC-4916-AC67-00B458DC50D2}"/>
                </c:ext>
              </c:extLst>
            </c:dLbl>
            <c:dLbl>
              <c:idx val="6"/>
              <c:delete val="1"/>
              <c:extLst>
                <c:ext xmlns:c15="http://schemas.microsoft.com/office/drawing/2012/chart" uri="{CE6537A1-D6FC-4f65-9D91-7224C49458BB}"/>
                <c:ext xmlns:c16="http://schemas.microsoft.com/office/drawing/2014/chart" uri="{C3380CC4-5D6E-409C-BE32-E72D297353CC}">
                  <c16:uniqueId val="{000000E8-66BC-4916-AC67-00B458DC50D2}"/>
                </c:ext>
              </c:extLst>
            </c:dLbl>
            <c:dLbl>
              <c:idx val="7"/>
              <c:delete val="1"/>
              <c:extLst>
                <c:ext xmlns:c15="http://schemas.microsoft.com/office/drawing/2012/chart" uri="{CE6537A1-D6FC-4f65-9D91-7224C49458BB}"/>
                <c:ext xmlns:c16="http://schemas.microsoft.com/office/drawing/2014/chart" uri="{C3380CC4-5D6E-409C-BE32-E72D297353CC}">
                  <c16:uniqueId val="{000000E7-66BC-4916-AC67-00B458DC50D2}"/>
                </c:ext>
              </c:extLst>
            </c:dLbl>
            <c:dLbl>
              <c:idx val="8"/>
              <c:delete val="1"/>
              <c:extLst>
                <c:ext xmlns:c15="http://schemas.microsoft.com/office/drawing/2012/chart" uri="{CE6537A1-D6FC-4f65-9D91-7224C49458BB}"/>
                <c:ext xmlns:c16="http://schemas.microsoft.com/office/drawing/2014/chart" uri="{C3380CC4-5D6E-409C-BE32-E72D297353CC}">
                  <c16:uniqueId val="{000000EA-66BC-4916-AC67-00B458DC50D2}"/>
                </c:ext>
              </c:extLst>
            </c:dLbl>
            <c:dLbl>
              <c:idx val="9"/>
              <c:delete val="1"/>
              <c:extLst>
                <c:ext xmlns:c15="http://schemas.microsoft.com/office/drawing/2012/chart" uri="{CE6537A1-D6FC-4f65-9D91-7224C49458BB}"/>
                <c:ext xmlns:c16="http://schemas.microsoft.com/office/drawing/2014/chart" uri="{C3380CC4-5D6E-409C-BE32-E72D297353CC}">
                  <c16:uniqueId val="{000000E9-66BC-4916-AC67-00B458DC50D2}"/>
                </c:ext>
              </c:extLst>
            </c:dLbl>
            <c:dLbl>
              <c:idx val="10"/>
              <c:delete val="1"/>
              <c:extLst>
                <c:ext xmlns:c15="http://schemas.microsoft.com/office/drawing/2012/chart" uri="{CE6537A1-D6FC-4f65-9D91-7224C49458BB}"/>
                <c:ext xmlns:c16="http://schemas.microsoft.com/office/drawing/2014/chart" uri="{C3380CC4-5D6E-409C-BE32-E72D297353CC}">
                  <c16:uniqueId val="{000000EB-66BC-4916-AC67-00B458DC50D2}"/>
                </c:ext>
              </c:extLst>
            </c:dLbl>
            <c:dLbl>
              <c:idx val="11"/>
              <c:delete val="1"/>
              <c:extLst>
                <c:ext xmlns:c15="http://schemas.microsoft.com/office/drawing/2012/chart" uri="{CE6537A1-D6FC-4f65-9D91-7224C49458BB}"/>
                <c:ext xmlns:c16="http://schemas.microsoft.com/office/drawing/2014/chart" uri="{C3380CC4-5D6E-409C-BE32-E72D297353CC}">
                  <c16:uniqueId val="{000000EC-66BC-4916-AC67-00B458DC50D2}"/>
                </c:ext>
              </c:extLst>
            </c:dLbl>
            <c:dLbl>
              <c:idx val="12"/>
              <c:delete val="1"/>
              <c:extLst>
                <c:ext xmlns:c15="http://schemas.microsoft.com/office/drawing/2012/chart" uri="{CE6537A1-D6FC-4f65-9D91-7224C49458BB}"/>
                <c:ext xmlns:c16="http://schemas.microsoft.com/office/drawing/2014/chart" uri="{C3380CC4-5D6E-409C-BE32-E72D297353CC}">
                  <c16:uniqueId val="{000000EE-66BC-4916-AC67-00B458DC50D2}"/>
                </c:ext>
              </c:extLst>
            </c:dLbl>
            <c:dLbl>
              <c:idx val="13"/>
              <c:delete val="1"/>
              <c:extLst>
                <c:ext xmlns:c15="http://schemas.microsoft.com/office/drawing/2012/chart" uri="{CE6537A1-D6FC-4f65-9D91-7224C49458BB}"/>
                <c:ext xmlns:c16="http://schemas.microsoft.com/office/drawing/2014/chart" uri="{C3380CC4-5D6E-409C-BE32-E72D297353CC}">
                  <c16:uniqueId val="{000000ED-66BC-4916-AC67-00B458DC50D2}"/>
                </c:ext>
              </c:extLst>
            </c:dLbl>
            <c:dLbl>
              <c:idx val="14"/>
              <c:delete val="1"/>
              <c:extLst>
                <c:ext xmlns:c15="http://schemas.microsoft.com/office/drawing/2012/chart" uri="{CE6537A1-D6FC-4f65-9D91-7224C49458BB}"/>
                <c:ext xmlns:c16="http://schemas.microsoft.com/office/drawing/2014/chart" uri="{C3380CC4-5D6E-409C-BE32-E72D297353CC}">
                  <c16:uniqueId val="{000000EF-66BC-4916-AC67-00B458DC50D2}"/>
                </c:ext>
              </c:extLst>
            </c:dLbl>
            <c:dLbl>
              <c:idx val="15"/>
              <c:delete val="1"/>
              <c:extLst>
                <c:ext xmlns:c15="http://schemas.microsoft.com/office/drawing/2012/chart" uri="{CE6537A1-D6FC-4f65-9D91-7224C49458BB}"/>
                <c:ext xmlns:c16="http://schemas.microsoft.com/office/drawing/2014/chart" uri="{C3380CC4-5D6E-409C-BE32-E72D297353CC}">
                  <c16:uniqueId val="{000000F1-66BC-4916-AC67-00B458DC50D2}"/>
                </c:ext>
              </c:extLst>
            </c:dLbl>
            <c:dLbl>
              <c:idx val="16"/>
              <c:delete val="1"/>
              <c:extLst>
                <c:ext xmlns:c15="http://schemas.microsoft.com/office/drawing/2012/chart" uri="{CE6537A1-D6FC-4f65-9D91-7224C49458BB}"/>
                <c:ext xmlns:c16="http://schemas.microsoft.com/office/drawing/2014/chart" uri="{C3380CC4-5D6E-409C-BE32-E72D297353CC}">
                  <c16:uniqueId val="{000000F0-66BC-4916-AC67-00B458DC50D2}"/>
                </c:ext>
              </c:extLst>
            </c:dLbl>
            <c:dLbl>
              <c:idx val="17"/>
              <c:delete val="1"/>
              <c:extLst>
                <c:ext xmlns:c15="http://schemas.microsoft.com/office/drawing/2012/chart" uri="{CE6537A1-D6FC-4f65-9D91-7224C49458BB}"/>
                <c:ext xmlns:c16="http://schemas.microsoft.com/office/drawing/2014/chart" uri="{C3380CC4-5D6E-409C-BE32-E72D297353CC}">
                  <c16:uniqueId val="{000000F2-66BC-4916-AC67-00B458DC50D2}"/>
                </c:ext>
              </c:extLst>
            </c:dLbl>
            <c:dLbl>
              <c:idx val="18"/>
              <c:delete val="1"/>
              <c:extLst>
                <c:ext xmlns:c15="http://schemas.microsoft.com/office/drawing/2012/chart" uri="{CE6537A1-D6FC-4f65-9D91-7224C49458BB}"/>
                <c:ext xmlns:c16="http://schemas.microsoft.com/office/drawing/2014/chart" uri="{C3380CC4-5D6E-409C-BE32-E72D297353CC}">
                  <c16:uniqueId val="{000000F5-66BC-4916-AC67-00B458DC50D2}"/>
                </c:ext>
              </c:extLst>
            </c:dLbl>
            <c:dLbl>
              <c:idx val="19"/>
              <c:delete val="1"/>
              <c:extLst>
                <c:ext xmlns:c15="http://schemas.microsoft.com/office/drawing/2012/chart" uri="{CE6537A1-D6FC-4f65-9D91-7224C49458BB}"/>
                <c:ext xmlns:c16="http://schemas.microsoft.com/office/drawing/2014/chart" uri="{C3380CC4-5D6E-409C-BE32-E72D297353CC}">
                  <c16:uniqueId val="{000000F4-66BC-4916-AC67-00B458DC50D2}"/>
                </c:ext>
              </c:extLst>
            </c:dLbl>
            <c:dLbl>
              <c:idx val="20"/>
              <c:delete val="1"/>
              <c:extLst>
                <c:ext xmlns:c15="http://schemas.microsoft.com/office/drawing/2012/chart" uri="{CE6537A1-D6FC-4f65-9D91-7224C49458BB}"/>
                <c:ext xmlns:c16="http://schemas.microsoft.com/office/drawing/2014/chart" uri="{C3380CC4-5D6E-409C-BE32-E72D297353CC}">
                  <c16:uniqueId val="{000000F3-66BC-4916-AC67-00B458DC50D2}"/>
                </c:ext>
              </c:extLst>
            </c:dLbl>
            <c:dLbl>
              <c:idx val="21"/>
              <c:delete val="1"/>
              <c:extLst>
                <c:ext xmlns:c15="http://schemas.microsoft.com/office/drawing/2012/chart" uri="{CE6537A1-D6FC-4f65-9D91-7224C49458BB}"/>
                <c:ext xmlns:c16="http://schemas.microsoft.com/office/drawing/2014/chart" uri="{C3380CC4-5D6E-409C-BE32-E72D297353CC}">
                  <c16:uniqueId val="{000000F8-66BC-4916-AC67-00B458DC50D2}"/>
                </c:ext>
              </c:extLst>
            </c:dLbl>
            <c:dLbl>
              <c:idx val="22"/>
              <c:delete val="1"/>
              <c:extLst>
                <c:ext xmlns:c15="http://schemas.microsoft.com/office/drawing/2012/chart" uri="{CE6537A1-D6FC-4f65-9D91-7224C49458BB}"/>
                <c:ext xmlns:c16="http://schemas.microsoft.com/office/drawing/2014/chart" uri="{C3380CC4-5D6E-409C-BE32-E72D297353CC}">
                  <c16:uniqueId val="{000000F6-66BC-4916-AC67-00B458DC50D2}"/>
                </c:ext>
              </c:extLst>
            </c:dLbl>
            <c:dLbl>
              <c:idx val="23"/>
              <c:delete val="1"/>
              <c:extLst>
                <c:ext xmlns:c15="http://schemas.microsoft.com/office/drawing/2012/chart" uri="{CE6537A1-D6FC-4f65-9D91-7224C49458BB}"/>
                <c:ext xmlns:c16="http://schemas.microsoft.com/office/drawing/2014/chart" uri="{C3380CC4-5D6E-409C-BE32-E72D297353CC}">
                  <c16:uniqueId val="{000000F7-66BC-4916-AC67-00B458DC50D2}"/>
                </c:ext>
              </c:extLst>
            </c:dLbl>
            <c:dLbl>
              <c:idx val="24"/>
              <c:delete val="1"/>
              <c:extLst>
                <c:ext xmlns:c15="http://schemas.microsoft.com/office/drawing/2012/chart" uri="{CE6537A1-D6FC-4f65-9D91-7224C49458BB}"/>
                <c:ext xmlns:c16="http://schemas.microsoft.com/office/drawing/2014/chart" uri="{C3380CC4-5D6E-409C-BE32-E72D297353CC}">
                  <c16:uniqueId val="{00000030-66BC-4916-AC67-00B458DC50D2}"/>
                </c:ext>
              </c:extLst>
            </c:dLbl>
            <c:dLbl>
              <c:idx val="25"/>
              <c:delete val="1"/>
              <c:extLst>
                <c:ext xmlns:c15="http://schemas.microsoft.com/office/drawing/2012/chart" uri="{CE6537A1-D6FC-4f65-9D91-7224C49458BB}"/>
                <c:ext xmlns:c16="http://schemas.microsoft.com/office/drawing/2014/chart" uri="{C3380CC4-5D6E-409C-BE32-E72D297353CC}">
                  <c16:uniqueId val="{00000031-66BC-4916-AC67-00B458DC50D2}"/>
                </c:ext>
              </c:extLst>
            </c:dLbl>
            <c:dLbl>
              <c:idx val="26"/>
              <c:delete val="1"/>
              <c:extLst>
                <c:ext xmlns:c15="http://schemas.microsoft.com/office/drawing/2012/chart" uri="{CE6537A1-D6FC-4f65-9D91-7224C49458BB}"/>
                <c:ext xmlns:c16="http://schemas.microsoft.com/office/drawing/2014/chart" uri="{C3380CC4-5D6E-409C-BE32-E72D297353CC}">
                  <c16:uniqueId val="{00000032-66BC-4916-AC67-00B458DC50D2}"/>
                </c:ext>
              </c:extLst>
            </c:dLbl>
            <c:dLbl>
              <c:idx val="27"/>
              <c:delete val="1"/>
              <c:extLst>
                <c:ext xmlns:c15="http://schemas.microsoft.com/office/drawing/2012/chart" uri="{CE6537A1-D6FC-4f65-9D91-7224C49458BB}"/>
                <c:ext xmlns:c16="http://schemas.microsoft.com/office/drawing/2014/chart" uri="{C3380CC4-5D6E-409C-BE32-E72D297353CC}">
                  <c16:uniqueId val="{00000033-66BC-4916-AC67-00B458DC50D2}"/>
                </c:ext>
              </c:extLst>
            </c:dLbl>
            <c:dLbl>
              <c:idx val="28"/>
              <c:delete val="1"/>
              <c:extLst>
                <c:ext xmlns:c15="http://schemas.microsoft.com/office/drawing/2012/chart" uri="{CE6537A1-D6FC-4f65-9D91-7224C49458BB}"/>
                <c:ext xmlns:c16="http://schemas.microsoft.com/office/drawing/2014/chart" uri="{C3380CC4-5D6E-409C-BE32-E72D297353CC}">
                  <c16:uniqueId val="{00000034-66BC-4916-AC67-00B458DC50D2}"/>
                </c:ext>
              </c:extLst>
            </c:dLbl>
            <c:dLbl>
              <c:idx val="29"/>
              <c:delete val="1"/>
              <c:extLst>
                <c:ext xmlns:c15="http://schemas.microsoft.com/office/drawing/2012/chart" uri="{CE6537A1-D6FC-4f65-9D91-7224C49458BB}"/>
                <c:ext xmlns:c16="http://schemas.microsoft.com/office/drawing/2014/chart" uri="{C3380CC4-5D6E-409C-BE32-E72D297353CC}">
                  <c16:uniqueId val="{00000035-66BC-4916-AC67-00B458DC50D2}"/>
                </c:ext>
              </c:extLst>
            </c:dLbl>
            <c:dLbl>
              <c:idx val="30"/>
              <c:delete val="1"/>
              <c:extLst>
                <c:ext xmlns:c15="http://schemas.microsoft.com/office/drawing/2012/chart" uri="{CE6537A1-D6FC-4f65-9D91-7224C49458BB}"/>
                <c:ext xmlns:c16="http://schemas.microsoft.com/office/drawing/2014/chart" uri="{C3380CC4-5D6E-409C-BE32-E72D297353CC}">
                  <c16:uniqueId val="{00000036-66BC-4916-AC67-00B458DC50D2}"/>
                </c:ext>
              </c:extLst>
            </c:dLbl>
            <c:dLbl>
              <c:idx val="31"/>
              <c:delete val="1"/>
              <c:extLst>
                <c:ext xmlns:c15="http://schemas.microsoft.com/office/drawing/2012/chart" uri="{CE6537A1-D6FC-4f65-9D91-7224C49458BB}"/>
                <c:ext xmlns:c16="http://schemas.microsoft.com/office/drawing/2014/chart" uri="{C3380CC4-5D6E-409C-BE32-E72D297353CC}">
                  <c16:uniqueId val="{00000037-66BC-4916-AC67-00B458DC50D2}"/>
                </c:ext>
              </c:extLst>
            </c:dLbl>
            <c:dLbl>
              <c:idx val="32"/>
              <c:delete val="1"/>
              <c:extLst>
                <c:ext xmlns:c15="http://schemas.microsoft.com/office/drawing/2012/chart" uri="{CE6537A1-D6FC-4f65-9D91-7224C49458BB}"/>
                <c:ext xmlns:c16="http://schemas.microsoft.com/office/drawing/2014/chart" uri="{C3380CC4-5D6E-409C-BE32-E72D297353CC}">
                  <c16:uniqueId val="{00000038-66BC-4916-AC67-00B458DC50D2}"/>
                </c:ext>
              </c:extLst>
            </c:dLbl>
            <c:dLbl>
              <c:idx val="33"/>
              <c:delete val="1"/>
              <c:extLst>
                <c:ext xmlns:c15="http://schemas.microsoft.com/office/drawing/2012/chart" uri="{CE6537A1-D6FC-4f65-9D91-7224C49458BB}"/>
                <c:ext xmlns:c16="http://schemas.microsoft.com/office/drawing/2014/chart" uri="{C3380CC4-5D6E-409C-BE32-E72D297353CC}">
                  <c16:uniqueId val="{00000039-66BC-4916-AC67-00B458DC50D2}"/>
                </c:ext>
              </c:extLst>
            </c:dLbl>
            <c:dLbl>
              <c:idx val="34"/>
              <c:delete val="1"/>
              <c:extLst>
                <c:ext xmlns:c15="http://schemas.microsoft.com/office/drawing/2012/chart" uri="{CE6537A1-D6FC-4f65-9D91-7224C49458BB}"/>
                <c:ext xmlns:c16="http://schemas.microsoft.com/office/drawing/2014/chart" uri="{C3380CC4-5D6E-409C-BE32-E72D297353CC}">
                  <c16:uniqueId val="{0000003A-66BC-4916-AC67-00B458DC50D2}"/>
                </c:ext>
              </c:extLst>
            </c:dLbl>
            <c:dLbl>
              <c:idx val="35"/>
              <c:delete val="1"/>
              <c:extLst>
                <c:ext xmlns:c15="http://schemas.microsoft.com/office/drawing/2012/chart" uri="{CE6537A1-D6FC-4f65-9D91-7224C49458BB}"/>
                <c:ext xmlns:c16="http://schemas.microsoft.com/office/drawing/2014/chart" uri="{C3380CC4-5D6E-409C-BE32-E72D297353CC}">
                  <c16:uniqueId val="{0000003B-66BC-4916-AC67-00B458DC50D2}"/>
                </c:ext>
              </c:extLst>
            </c:dLbl>
            <c:dLbl>
              <c:idx val="36"/>
              <c:delete val="1"/>
              <c:extLst>
                <c:ext xmlns:c15="http://schemas.microsoft.com/office/drawing/2012/chart" uri="{CE6537A1-D6FC-4f65-9D91-7224C49458BB}"/>
                <c:ext xmlns:c16="http://schemas.microsoft.com/office/drawing/2014/chart" uri="{C3380CC4-5D6E-409C-BE32-E72D297353CC}">
                  <c16:uniqueId val="{0000003C-66BC-4916-AC67-00B458DC50D2}"/>
                </c:ext>
              </c:extLst>
            </c:dLbl>
            <c:dLbl>
              <c:idx val="37"/>
              <c:delete val="1"/>
              <c:extLst>
                <c:ext xmlns:c15="http://schemas.microsoft.com/office/drawing/2012/chart" uri="{CE6537A1-D6FC-4f65-9D91-7224C49458BB}"/>
                <c:ext xmlns:c16="http://schemas.microsoft.com/office/drawing/2014/chart" uri="{C3380CC4-5D6E-409C-BE32-E72D297353CC}">
                  <c16:uniqueId val="{0000003D-66BC-4916-AC67-00B458DC50D2}"/>
                </c:ext>
              </c:extLst>
            </c:dLbl>
            <c:dLbl>
              <c:idx val="38"/>
              <c:delete val="1"/>
              <c:extLst>
                <c:ext xmlns:c15="http://schemas.microsoft.com/office/drawing/2012/chart" uri="{CE6537A1-D6FC-4f65-9D91-7224C49458BB}"/>
                <c:ext xmlns:c16="http://schemas.microsoft.com/office/drawing/2014/chart" uri="{C3380CC4-5D6E-409C-BE32-E72D297353CC}">
                  <c16:uniqueId val="{0000003E-66BC-4916-AC67-00B458DC50D2}"/>
                </c:ext>
              </c:extLst>
            </c:dLbl>
            <c:dLbl>
              <c:idx val="39"/>
              <c:delete val="1"/>
              <c:extLst>
                <c:ext xmlns:c15="http://schemas.microsoft.com/office/drawing/2012/chart" uri="{CE6537A1-D6FC-4f65-9D91-7224C49458BB}"/>
                <c:ext xmlns:c16="http://schemas.microsoft.com/office/drawing/2014/chart" uri="{C3380CC4-5D6E-409C-BE32-E72D297353CC}">
                  <c16:uniqueId val="{0000003F-66BC-4916-AC67-00B458DC50D2}"/>
                </c:ext>
              </c:extLst>
            </c:dLbl>
            <c:dLbl>
              <c:idx val="40"/>
              <c:delete val="1"/>
              <c:extLst>
                <c:ext xmlns:c15="http://schemas.microsoft.com/office/drawing/2012/chart" uri="{CE6537A1-D6FC-4f65-9D91-7224C49458BB}"/>
                <c:ext xmlns:c16="http://schemas.microsoft.com/office/drawing/2014/chart" uri="{C3380CC4-5D6E-409C-BE32-E72D297353CC}">
                  <c16:uniqueId val="{00000040-66BC-4916-AC67-00B458DC50D2}"/>
                </c:ext>
              </c:extLst>
            </c:dLbl>
            <c:dLbl>
              <c:idx val="41"/>
              <c:delete val="1"/>
              <c:extLst>
                <c:ext xmlns:c15="http://schemas.microsoft.com/office/drawing/2012/chart" uri="{CE6537A1-D6FC-4f65-9D91-7224C49458BB}"/>
                <c:ext xmlns:c16="http://schemas.microsoft.com/office/drawing/2014/chart" uri="{C3380CC4-5D6E-409C-BE32-E72D297353CC}">
                  <c16:uniqueId val="{00000041-66BC-4916-AC67-00B458DC50D2}"/>
                </c:ext>
              </c:extLst>
            </c:dLbl>
            <c:dLbl>
              <c:idx val="42"/>
              <c:delete val="1"/>
              <c:extLst>
                <c:ext xmlns:c15="http://schemas.microsoft.com/office/drawing/2012/chart" uri="{CE6537A1-D6FC-4f65-9D91-7224C49458BB}"/>
                <c:ext xmlns:c16="http://schemas.microsoft.com/office/drawing/2014/chart" uri="{C3380CC4-5D6E-409C-BE32-E72D297353CC}">
                  <c16:uniqueId val="{00000042-66BC-4916-AC67-00B458DC50D2}"/>
                </c:ext>
              </c:extLst>
            </c:dLbl>
            <c:dLbl>
              <c:idx val="43"/>
              <c:delete val="1"/>
              <c:extLst>
                <c:ext xmlns:c15="http://schemas.microsoft.com/office/drawing/2012/chart" uri="{CE6537A1-D6FC-4f65-9D91-7224C49458BB}"/>
                <c:ext xmlns:c16="http://schemas.microsoft.com/office/drawing/2014/chart" uri="{C3380CC4-5D6E-409C-BE32-E72D297353CC}">
                  <c16:uniqueId val="{00000043-66BC-4916-AC67-00B458DC50D2}"/>
                </c:ext>
              </c:extLst>
            </c:dLbl>
            <c:dLbl>
              <c:idx val="44"/>
              <c:delete val="1"/>
              <c:extLst>
                <c:ext xmlns:c15="http://schemas.microsoft.com/office/drawing/2012/chart" uri="{CE6537A1-D6FC-4f65-9D91-7224C49458BB}"/>
                <c:ext xmlns:c16="http://schemas.microsoft.com/office/drawing/2014/chart" uri="{C3380CC4-5D6E-409C-BE32-E72D297353CC}">
                  <c16:uniqueId val="{00000044-66BC-4916-AC67-00B458DC50D2}"/>
                </c:ext>
              </c:extLst>
            </c:dLbl>
            <c:dLbl>
              <c:idx val="45"/>
              <c:delete val="1"/>
              <c:extLst>
                <c:ext xmlns:c15="http://schemas.microsoft.com/office/drawing/2012/chart" uri="{CE6537A1-D6FC-4f65-9D91-7224C49458BB}"/>
                <c:ext xmlns:c16="http://schemas.microsoft.com/office/drawing/2014/chart" uri="{C3380CC4-5D6E-409C-BE32-E72D297353CC}">
                  <c16:uniqueId val="{00000045-66BC-4916-AC67-00B458DC50D2}"/>
                </c:ext>
              </c:extLst>
            </c:dLbl>
            <c:dLbl>
              <c:idx val="46"/>
              <c:delete val="1"/>
              <c:extLst>
                <c:ext xmlns:c15="http://schemas.microsoft.com/office/drawing/2012/chart" uri="{CE6537A1-D6FC-4f65-9D91-7224C49458BB}"/>
                <c:ext xmlns:c16="http://schemas.microsoft.com/office/drawing/2014/chart" uri="{C3380CC4-5D6E-409C-BE32-E72D297353CC}">
                  <c16:uniqueId val="{00000046-66BC-4916-AC67-00B458DC50D2}"/>
                </c:ext>
              </c:extLst>
            </c:dLbl>
            <c:dLbl>
              <c:idx val="47"/>
              <c:delete val="1"/>
              <c:extLst>
                <c:ext xmlns:c15="http://schemas.microsoft.com/office/drawing/2012/chart" uri="{CE6537A1-D6FC-4f65-9D91-7224C49458BB}"/>
                <c:ext xmlns:c16="http://schemas.microsoft.com/office/drawing/2014/chart" uri="{C3380CC4-5D6E-409C-BE32-E72D297353CC}">
                  <c16:uniqueId val="{00000047-66BC-4916-AC67-00B458DC50D2}"/>
                </c:ext>
              </c:extLst>
            </c:dLbl>
            <c:dLbl>
              <c:idx val="48"/>
              <c:delete val="1"/>
              <c:extLst>
                <c:ext xmlns:c15="http://schemas.microsoft.com/office/drawing/2012/chart" uri="{CE6537A1-D6FC-4f65-9D91-7224C49458BB}"/>
                <c:ext xmlns:c16="http://schemas.microsoft.com/office/drawing/2014/chart" uri="{C3380CC4-5D6E-409C-BE32-E72D297353CC}">
                  <c16:uniqueId val="{000000D8-848D-440A-8D75-9BC56F2C29E3}"/>
                </c:ext>
              </c:extLst>
            </c:dLbl>
            <c:dLbl>
              <c:idx val="49"/>
              <c:delete val="1"/>
              <c:extLst>
                <c:ext xmlns:c15="http://schemas.microsoft.com/office/drawing/2012/chart" uri="{CE6537A1-D6FC-4f65-9D91-7224C49458BB}"/>
                <c:ext xmlns:c16="http://schemas.microsoft.com/office/drawing/2014/chart" uri="{C3380CC4-5D6E-409C-BE32-E72D297353CC}">
                  <c16:uniqueId val="{000000D9-848D-440A-8D75-9BC56F2C29E3}"/>
                </c:ext>
              </c:extLst>
            </c:dLbl>
            <c:dLbl>
              <c:idx val="50"/>
              <c:delete val="1"/>
              <c:extLst>
                <c:ext xmlns:c15="http://schemas.microsoft.com/office/drawing/2012/chart" uri="{CE6537A1-D6FC-4f65-9D91-7224C49458BB}"/>
                <c:ext xmlns:c16="http://schemas.microsoft.com/office/drawing/2014/chart" uri="{C3380CC4-5D6E-409C-BE32-E72D297353CC}">
                  <c16:uniqueId val="{000000DA-848D-440A-8D75-9BC56F2C29E3}"/>
                </c:ext>
              </c:extLst>
            </c:dLbl>
            <c:dLbl>
              <c:idx val="51"/>
              <c:delete val="1"/>
              <c:extLst>
                <c:ext xmlns:c15="http://schemas.microsoft.com/office/drawing/2012/chart" uri="{CE6537A1-D6FC-4f65-9D91-7224C49458BB}"/>
                <c:ext xmlns:c16="http://schemas.microsoft.com/office/drawing/2014/chart" uri="{C3380CC4-5D6E-409C-BE32-E72D297353CC}">
                  <c16:uniqueId val="{000000DB-848D-440A-8D75-9BC56F2C29E3}"/>
                </c:ext>
              </c:extLst>
            </c:dLbl>
            <c:dLbl>
              <c:idx val="52"/>
              <c:delete val="1"/>
              <c:extLst>
                <c:ext xmlns:c15="http://schemas.microsoft.com/office/drawing/2012/chart" uri="{CE6537A1-D6FC-4f65-9D91-7224C49458BB}"/>
                <c:ext xmlns:c16="http://schemas.microsoft.com/office/drawing/2014/chart" uri="{C3380CC4-5D6E-409C-BE32-E72D297353CC}">
                  <c16:uniqueId val="{000000DC-848D-440A-8D75-9BC56F2C29E3}"/>
                </c:ext>
              </c:extLst>
            </c:dLbl>
            <c:dLbl>
              <c:idx val="53"/>
              <c:delete val="1"/>
              <c:extLst>
                <c:ext xmlns:c15="http://schemas.microsoft.com/office/drawing/2012/chart" uri="{CE6537A1-D6FC-4f65-9D91-7224C49458BB}"/>
                <c:ext xmlns:c16="http://schemas.microsoft.com/office/drawing/2014/chart" uri="{C3380CC4-5D6E-409C-BE32-E72D297353CC}">
                  <c16:uniqueId val="{000000DD-848D-440A-8D75-9BC56F2C29E3}"/>
                </c:ext>
              </c:extLst>
            </c:dLbl>
            <c:dLbl>
              <c:idx val="54"/>
              <c:delete val="1"/>
              <c:extLst>
                <c:ext xmlns:c15="http://schemas.microsoft.com/office/drawing/2012/chart" uri="{CE6537A1-D6FC-4f65-9D91-7224C49458BB}"/>
                <c:ext xmlns:c16="http://schemas.microsoft.com/office/drawing/2014/chart" uri="{C3380CC4-5D6E-409C-BE32-E72D297353CC}">
                  <c16:uniqueId val="{000000DE-848D-440A-8D75-9BC56F2C29E3}"/>
                </c:ext>
              </c:extLst>
            </c:dLbl>
            <c:dLbl>
              <c:idx val="55"/>
              <c:delete val="1"/>
              <c:extLst>
                <c:ext xmlns:c15="http://schemas.microsoft.com/office/drawing/2012/chart" uri="{CE6537A1-D6FC-4f65-9D91-7224C49458BB}"/>
                <c:ext xmlns:c16="http://schemas.microsoft.com/office/drawing/2014/chart" uri="{C3380CC4-5D6E-409C-BE32-E72D297353CC}">
                  <c16:uniqueId val="{000000DF-848D-440A-8D75-9BC56F2C29E3}"/>
                </c:ext>
              </c:extLst>
            </c:dLbl>
            <c:dLbl>
              <c:idx val="56"/>
              <c:delete val="1"/>
              <c:extLst>
                <c:ext xmlns:c15="http://schemas.microsoft.com/office/drawing/2012/chart" uri="{CE6537A1-D6FC-4f65-9D91-7224C49458BB}"/>
                <c:ext xmlns:c16="http://schemas.microsoft.com/office/drawing/2014/chart" uri="{C3380CC4-5D6E-409C-BE32-E72D297353CC}">
                  <c16:uniqueId val="{000000E0-848D-440A-8D75-9BC56F2C29E3}"/>
                </c:ext>
              </c:extLst>
            </c:dLbl>
            <c:dLbl>
              <c:idx val="57"/>
              <c:delete val="1"/>
              <c:extLst>
                <c:ext xmlns:c15="http://schemas.microsoft.com/office/drawing/2012/chart" uri="{CE6537A1-D6FC-4f65-9D91-7224C49458BB}"/>
                <c:ext xmlns:c16="http://schemas.microsoft.com/office/drawing/2014/chart" uri="{C3380CC4-5D6E-409C-BE32-E72D297353CC}">
                  <c16:uniqueId val="{000000E1-848D-440A-8D75-9BC56F2C29E3}"/>
                </c:ext>
              </c:extLst>
            </c:dLbl>
            <c:dLbl>
              <c:idx val="58"/>
              <c:delete val="1"/>
              <c:extLst>
                <c:ext xmlns:c15="http://schemas.microsoft.com/office/drawing/2012/chart" uri="{CE6537A1-D6FC-4f65-9D91-7224C49458BB}"/>
                <c:ext xmlns:c16="http://schemas.microsoft.com/office/drawing/2014/chart" uri="{C3380CC4-5D6E-409C-BE32-E72D297353CC}">
                  <c16:uniqueId val="{00000006-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1-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2-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8-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2-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5-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1-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2-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6-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3-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2-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5-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6-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6-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1-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6-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1-E23D-4ACE-9739-579FB0D0F4C8}"/>
                </c:ext>
              </c:extLst>
            </c:dLbl>
            <c:dLbl>
              <c:idx val="75"/>
              <c:delete val="1"/>
              <c:extLst>
                <c:ext xmlns:c15="http://schemas.microsoft.com/office/drawing/2012/chart" uri="{CE6537A1-D6FC-4f65-9D91-7224C49458BB}"/>
                <c:ext xmlns:c16="http://schemas.microsoft.com/office/drawing/2014/chart" uri="{C3380CC4-5D6E-409C-BE32-E72D297353CC}">
                  <c16:uniqueId val="{00000002-2F6A-4423-9810-7847C8DDC08A}"/>
                </c:ext>
              </c:extLst>
            </c:dLbl>
            <c:dLbl>
              <c:idx val="76"/>
              <c:layout>
                <c:manualLayout>
                  <c:x val="-6.0117302052785926E-2"/>
                  <c:y val="2.42424242424242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68B-4432-8AC7-4CD49DA871AB}"/>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6.2'!$A$150:$B$226</c:f>
              <c:multiLvlStrCache>
                <c:ptCount val="7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lvl>
                <c:lvl>
                  <c:pt idx="0">
                    <c:v>2020</c:v>
                  </c:pt>
                  <c:pt idx="12">
                    <c:v>2021</c:v>
                  </c:pt>
                  <c:pt idx="24">
                    <c:v>2022</c:v>
                  </c:pt>
                  <c:pt idx="36">
                    <c:v>2023</c:v>
                  </c:pt>
                  <c:pt idx="48">
                    <c:v>2024</c:v>
                  </c:pt>
                  <c:pt idx="60">
                    <c:v>2025</c:v>
                  </c:pt>
                  <c:pt idx="72">
                    <c:v>2026</c:v>
                  </c:pt>
                </c:lvl>
              </c:multiLvlStrCache>
            </c:multiLvlStrRef>
          </c:cat>
          <c:val>
            <c:numRef>
              <c:f>' 6.2'!$F$150:$F$226</c:f>
              <c:numCache>
                <c:formatCode>#,##0.000</c:formatCode>
                <c:ptCount val="77"/>
                <c:pt idx="0">
                  <c:v>1.5136000000000001</c:v>
                </c:pt>
                <c:pt idx="1">
                  <c:v>1.5354000000000001</c:v>
                </c:pt>
                <c:pt idx="2">
                  <c:v>1.5698000000000001</c:v>
                </c:pt>
                <c:pt idx="3">
                  <c:v>1.5452999999999999</c:v>
                </c:pt>
                <c:pt idx="4">
                  <c:v>1.5693999999999999</c:v>
                </c:pt>
                <c:pt idx="5">
                  <c:v>1.5653999999999999</c:v>
                </c:pt>
                <c:pt idx="6">
                  <c:v>1.6191</c:v>
                </c:pt>
                <c:pt idx="7">
                  <c:v>1.6236999999999999</c:v>
                </c:pt>
                <c:pt idx="8">
                  <c:v>1.6003000000000001</c:v>
                </c:pt>
                <c:pt idx="9">
                  <c:v>1.5913999999999999</c:v>
                </c:pt>
                <c:pt idx="10">
                  <c:v>1.6003000000000001</c:v>
                </c:pt>
                <c:pt idx="11">
                  <c:v>1.6146</c:v>
                </c:pt>
                <c:pt idx="12">
                  <c:v>1.6127</c:v>
                </c:pt>
                <c:pt idx="13">
                  <c:v>1.6086</c:v>
                </c:pt>
                <c:pt idx="14">
                  <c:v>1.5774999999999999</c:v>
                </c:pt>
                <c:pt idx="15">
                  <c:v>1.5993999999999999</c:v>
                </c:pt>
                <c:pt idx="16">
                  <c:v>1.6153999999999999</c:v>
                </c:pt>
                <c:pt idx="17">
                  <c:v>1.5951</c:v>
                </c:pt>
                <c:pt idx="18">
                  <c:v>1.6073</c:v>
                </c:pt>
                <c:pt idx="19">
                  <c:v>1.5878999999999999</c:v>
                </c:pt>
                <c:pt idx="20">
                  <c:v>1.5718999999999999</c:v>
                </c:pt>
                <c:pt idx="21">
                  <c:v>1.5592999999999999</c:v>
                </c:pt>
                <c:pt idx="22">
                  <c:v>1.5468999999999999</c:v>
                </c:pt>
                <c:pt idx="23">
                  <c:v>1.5337000000000001</c:v>
                </c:pt>
                <c:pt idx="24">
                  <c:v>1.5181</c:v>
                </c:pt>
                <c:pt idx="25">
                  <c:v>1.5202</c:v>
                </c:pt>
                <c:pt idx="26">
                  <c:v>1.4997</c:v>
                </c:pt>
                <c:pt idx="27">
                  <c:v>1.4585999999999999</c:v>
                </c:pt>
                <c:pt idx="28">
                  <c:v>1.4708000000000001</c:v>
                </c:pt>
                <c:pt idx="29">
                  <c:v>1.4564999999999999</c:v>
                </c:pt>
                <c:pt idx="30">
                  <c:v>1.4117999999999999</c:v>
                </c:pt>
                <c:pt idx="31">
                  <c:v>1.4047000000000001</c:v>
                </c:pt>
                <c:pt idx="32">
                  <c:v>1.4078999999999999</c:v>
                </c:pt>
                <c:pt idx="33">
                  <c:v>1.3997999999999999</c:v>
                </c:pt>
                <c:pt idx="34">
                  <c:v>1.4171</c:v>
                </c:pt>
                <c:pt idx="35">
                  <c:v>1.4353</c:v>
                </c:pt>
                <c:pt idx="36">
                  <c:v>1.4272</c:v>
                </c:pt>
                <c:pt idx="37">
                  <c:v>1.4260999999999999</c:v>
                </c:pt>
                <c:pt idx="38">
                  <c:v>1.444</c:v>
                </c:pt>
                <c:pt idx="39">
                  <c:v>1.4705999999999999</c:v>
                </c:pt>
                <c:pt idx="40">
                  <c:v>1.4451000000000001</c:v>
                </c:pt>
                <c:pt idx="41">
                  <c:v>1.4754</c:v>
                </c:pt>
                <c:pt idx="42">
                  <c:v>1.4621999999999999</c:v>
                </c:pt>
                <c:pt idx="43">
                  <c:v>1.4653</c:v>
                </c:pt>
                <c:pt idx="44">
                  <c:v>1.4440999999999999</c:v>
                </c:pt>
                <c:pt idx="45">
                  <c:v>1.4484999999999999</c:v>
                </c:pt>
                <c:pt idx="46">
                  <c:v>1.4560999999999999</c:v>
                </c:pt>
                <c:pt idx="47">
                  <c:v>1.4568000000000001</c:v>
                </c:pt>
                <c:pt idx="48">
                  <c:v>1.4503999999999999</c:v>
                </c:pt>
                <c:pt idx="49">
                  <c:v>1.4538</c:v>
                </c:pt>
                <c:pt idx="50">
                  <c:v>1.4529000000000001</c:v>
                </c:pt>
                <c:pt idx="51">
                  <c:v>1.4562999999999999</c:v>
                </c:pt>
                <c:pt idx="52">
                  <c:v>1.4659</c:v>
                </c:pt>
                <c:pt idx="53">
                  <c:v>1.4527000000000001</c:v>
                </c:pt>
                <c:pt idx="54">
                  <c:v>1.4460999999999999</c:v>
                </c:pt>
                <c:pt idx="55">
                  <c:v>1.4433</c:v>
                </c:pt>
                <c:pt idx="56">
                  <c:v>1.431</c:v>
                </c:pt>
                <c:pt idx="57">
                  <c:v>1.4363999999999999</c:v>
                </c:pt>
                <c:pt idx="58">
                  <c:v>1.415</c:v>
                </c:pt>
                <c:pt idx="59">
                  <c:v>1.4144000000000001</c:v>
                </c:pt>
                <c:pt idx="60">
                  <c:v>1.4055</c:v>
                </c:pt>
                <c:pt idx="61">
                  <c:v>1.4011</c:v>
                </c:pt>
                <c:pt idx="62">
                  <c:v>1.452</c:v>
                </c:pt>
                <c:pt idx="63">
                  <c:v>1.4799</c:v>
                </c:pt>
                <c:pt idx="64">
                  <c:v>1.4648000000000001</c:v>
                </c:pt>
                <c:pt idx="65">
                  <c:v>1.4988999999999999</c:v>
                </c:pt>
                <c:pt idx="66">
                  <c:v>1.4815</c:v>
                </c:pt>
                <c:pt idx="67">
                  <c:v>1.4994000000000001</c:v>
                </c:pt>
                <c:pt idx="68">
                  <c:v>1.5136000000000001</c:v>
                </c:pt>
                <c:pt idx="69">
                  <c:v>1.502</c:v>
                </c:pt>
                <c:pt idx="70">
                  <c:v>1.5024</c:v>
                </c:pt>
                <c:pt idx="71">
                  <c:v>1.51</c:v>
                </c:pt>
                <c:pt idx="72">
                  <c:v>1.5067999999999999</c:v>
                </c:pt>
                <c:pt idx="73">
                  <c:v>1.494</c:v>
                </c:pt>
                <c:pt idx="74">
                  <c:v>1.488</c:v>
                </c:pt>
                <c:pt idx="75">
                  <c:v>1.4928999999999999</c:v>
                </c:pt>
                <c:pt idx="76">
                  <c:v>1.4883999999999999</c:v>
                </c:pt>
              </c:numCache>
            </c:numRef>
          </c:val>
          <c:smooth val="0"/>
          <c:extLst>
            <c:ext xmlns:c16="http://schemas.microsoft.com/office/drawing/2014/chart" uri="{C3380CC4-5D6E-409C-BE32-E72D297353CC}">
              <c16:uniqueId val="{0000011F-848D-440A-8D75-9BC56F2C29E3}"/>
            </c:ext>
          </c:extLst>
        </c:ser>
        <c:ser>
          <c:idx val="6"/>
          <c:order val="6"/>
          <c:tx>
            <c:v>JPY - Left Axis</c:v>
          </c:tx>
          <c:spPr>
            <a:ln>
              <a:solidFill>
                <a:schemeClr val="tx1">
                  <a:lumMod val="75000"/>
                  <a:lumOff val="2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7E-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C-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B-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81-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83-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84-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85-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86-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87-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88-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82-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89-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8A-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8B-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8C-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8D-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8E-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8F-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90-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91-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92-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93-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94-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95-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96-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97-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98-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99-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9A-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9B-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9C-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9D-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9E-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A0-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9F-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A1-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A2-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A3-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A4-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A5-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A6-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A7-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A8-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A9-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AA-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AB-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AC-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AD-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AE-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AF-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B0-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B1-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B3-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B2-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B4-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B5-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B6-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B7-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2-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4-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4-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2-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4-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3-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4-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4-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2-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8-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9-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7-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1-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2-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5-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2-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5-E23D-4ACE-9739-579FB0D0F4C8}"/>
                </c:ext>
              </c:extLst>
            </c:dLbl>
            <c:dLbl>
              <c:idx val="75"/>
              <c:delete val="1"/>
              <c:extLst>
                <c:ext xmlns:c15="http://schemas.microsoft.com/office/drawing/2012/chart" uri="{CE6537A1-D6FC-4f65-9D91-7224C49458BB}"/>
                <c:ext xmlns:c16="http://schemas.microsoft.com/office/drawing/2014/chart" uri="{C3380CC4-5D6E-409C-BE32-E72D297353CC}">
                  <c16:uniqueId val="{00000005-2F6A-4423-9810-7847C8DDC08A}"/>
                </c:ext>
              </c:extLst>
            </c:dLbl>
            <c:dLbl>
              <c:idx val="76"/>
              <c:layout>
                <c:manualLayout>
                  <c:x val="-4.9853372434017593E-2"/>
                  <c:y val="-1.81818181818181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8B-4432-8AC7-4CD49DA871AB}"/>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6.2'!$A$150:$B$226</c:f>
              <c:multiLvlStrCache>
                <c:ptCount val="7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lvl>
                <c:lvl>
                  <c:pt idx="0">
                    <c:v>2020</c:v>
                  </c:pt>
                  <c:pt idx="12">
                    <c:v>2021</c:v>
                  </c:pt>
                  <c:pt idx="24">
                    <c:v>2022</c:v>
                  </c:pt>
                  <c:pt idx="36">
                    <c:v>2023</c:v>
                  </c:pt>
                  <c:pt idx="48">
                    <c:v>2024</c:v>
                  </c:pt>
                  <c:pt idx="60">
                    <c:v>2025</c:v>
                  </c:pt>
                  <c:pt idx="72">
                    <c:v>2026</c:v>
                  </c:pt>
                </c:lvl>
              </c:multiLvlStrCache>
            </c:multiLvlStrRef>
          </c:cat>
          <c:val>
            <c:numRef>
              <c:f>' 6.2'!$I$150:$I$226</c:f>
              <c:numCache>
                <c:formatCode>#,##0.000</c:formatCode>
                <c:ptCount val="77"/>
                <c:pt idx="0">
                  <c:v>1.2592000000000001</c:v>
                </c:pt>
                <c:pt idx="1">
                  <c:v>1.2887999999999999</c:v>
                </c:pt>
                <c:pt idx="2">
                  <c:v>1.3222</c:v>
                </c:pt>
                <c:pt idx="3">
                  <c:v>1.3163</c:v>
                </c:pt>
                <c:pt idx="4">
                  <c:v>1.3104</c:v>
                </c:pt>
                <c:pt idx="5">
                  <c:v>1.2910999999999999</c:v>
                </c:pt>
                <c:pt idx="6">
                  <c:v>1.2987</c:v>
                </c:pt>
                <c:pt idx="7">
                  <c:v>1.2844</c:v>
                </c:pt>
                <c:pt idx="8">
                  <c:v>1.2951999999999999</c:v>
                </c:pt>
                <c:pt idx="9">
                  <c:v>1.3057000000000001</c:v>
                </c:pt>
                <c:pt idx="10">
                  <c:v>1.2862</c:v>
                </c:pt>
                <c:pt idx="11">
                  <c:v>1.2787999999999999</c:v>
                </c:pt>
                <c:pt idx="12">
                  <c:v>1.2690999999999999</c:v>
                </c:pt>
                <c:pt idx="13">
                  <c:v>1.2506999999999999</c:v>
                </c:pt>
                <c:pt idx="14">
                  <c:v>1.2151000000000001</c:v>
                </c:pt>
                <c:pt idx="15">
                  <c:v>1.2171000000000001</c:v>
                </c:pt>
                <c:pt idx="16">
                  <c:v>1.2057</c:v>
                </c:pt>
                <c:pt idx="17">
                  <c:v>1.2109000000000001</c:v>
                </c:pt>
                <c:pt idx="18">
                  <c:v>1.2347999999999999</c:v>
                </c:pt>
                <c:pt idx="19">
                  <c:v>1.2224999999999999</c:v>
                </c:pt>
                <c:pt idx="20">
                  <c:v>1.2202999999999999</c:v>
                </c:pt>
                <c:pt idx="21">
                  <c:v>1.1831</c:v>
                </c:pt>
                <c:pt idx="22">
                  <c:v>1.2057</c:v>
                </c:pt>
                <c:pt idx="23">
                  <c:v>1.1716</c:v>
                </c:pt>
                <c:pt idx="24">
                  <c:v>1.1736</c:v>
                </c:pt>
                <c:pt idx="25">
                  <c:v>1.1785000000000001</c:v>
                </c:pt>
                <c:pt idx="26">
                  <c:v>1.1134999999999999</c:v>
                </c:pt>
                <c:pt idx="27">
                  <c:v>1.0658000000000001</c:v>
                </c:pt>
                <c:pt idx="28">
                  <c:v>1.0647</c:v>
                </c:pt>
                <c:pt idx="29">
                  <c:v>1.0235000000000001</c:v>
                </c:pt>
                <c:pt idx="30">
                  <c:v>1.0364</c:v>
                </c:pt>
                <c:pt idx="31">
                  <c:v>1.0055000000000001</c:v>
                </c:pt>
                <c:pt idx="32">
                  <c:v>0.99209999999999998</c:v>
                </c:pt>
                <c:pt idx="33">
                  <c:v>0.95240000000000002</c:v>
                </c:pt>
                <c:pt idx="34">
                  <c:v>0.98580000000000001</c:v>
                </c:pt>
                <c:pt idx="35">
                  <c:v>1.0224</c:v>
                </c:pt>
                <c:pt idx="36">
                  <c:v>1.0099</c:v>
                </c:pt>
                <c:pt idx="37">
                  <c:v>0.98980000000000001</c:v>
                </c:pt>
                <c:pt idx="38">
                  <c:v>1.0029999999999999</c:v>
                </c:pt>
                <c:pt idx="39">
                  <c:v>0.98</c:v>
                </c:pt>
                <c:pt idx="40">
                  <c:v>0.97050000000000003</c:v>
                </c:pt>
                <c:pt idx="41">
                  <c:v>0.93710000000000004</c:v>
                </c:pt>
                <c:pt idx="42">
                  <c:v>0.93459999999999999</c:v>
                </c:pt>
                <c:pt idx="43">
                  <c:v>0.92849999999999999</c:v>
                </c:pt>
                <c:pt idx="44">
                  <c:v>0.91459999999999997</c:v>
                </c:pt>
                <c:pt idx="45">
                  <c:v>0.90290000000000004</c:v>
                </c:pt>
                <c:pt idx="46">
                  <c:v>0.90239999999999998</c:v>
                </c:pt>
                <c:pt idx="47">
                  <c:v>0.93559999999999999</c:v>
                </c:pt>
                <c:pt idx="48">
                  <c:v>0.91190000000000004</c:v>
                </c:pt>
                <c:pt idx="49">
                  <c:v>0.8972</c:v>
                </c:pt>
                <c:pt idx="50">
                  <c:v>0.89139999999999997</c:v>
                </c:pt>
                <c:pt idx="51">
                  <c:v>0.86570000000000003</c:v>
                </c:pt>
                <c:pt idx="52">
                  <c:v>0.8589</c:v>
                </c:pt>
                <c:pt idx="53">
                  <c:v>0.84279999999999999</c:v>
                </c:pt>
                <c:pt idx="54">
                  <c:v>0.89070000000000005</c:v>
                </c:pt>
                <c:pt idx="55">
                  <c:v>0.89380000000000004</c:v>
                </c:pt>
                <c:pt idx="56">
                  <c:v>0.89500000000000002</c:v>
                </c:pt>
                <c:pt idx="57">
                  <c:v>0.86809999999999998</c:v>
                </c:pt>
                <c:pt idx="58">
                  <c:v>0.89500000000000002</c:v>
                </c:pt>
                <c:pt idx="59">
                  <c:v>0.86839999999999995</c:v>
                </c:pt>
                <c:pt idx="60">
                  <c:v>0.874</c:v>
                </c:pt>
                <c:pt idx="61">
                  <c:v>0.89739999999999998</c:v>
                </c:pt>
                <c:pt idx="62">
                  <c:v>0.89500000000000002</c:v>
                </c:pt>
                <c:pt idx="63">
                  <c:v>0.91369999999999996</c:v>
                </c:pt>
                <c:pt idx="64">
                  <c:v>0.89610000000000001</c:v>
                </c:pt>
                <c:pt idx="65">
                  <c:v>0.88290000000000002</c:v>
                </c:pt>
                <c:pt idx="66">
                  <c:v>0.86099999999999999</c:v>
                </c:pt>
                <c:pt idx="67">
                  <c:v>0.87309999999999999</c:v>
                </c:pt>
                <c:pt idx="68">
                  <c:v>0.872</c:v>
                </c:pt>
                <c:pt idx="69">
                  <c:v>0.84499999999999997</c:v>
                </c:pt>
                <c:pt idx="70">
                  <c:v>0.83009999999999995</c:v>
                </c:pt>
                <c:pt idx="71">
                  <c:v>0.82050000000000001</c:v>
                </c:pt>
                <c:pt idx="72">
                  <c:v>0.82089999999999996</c:v>
                </c:pt>
                <c:pt idx="73">
                  <c:v>0.8105</c:v>
                </c:pt>
                <c:pt idx="74">
                  <c:v>0.81069999999999998</c:v>
                </c:pt>
                <c:pt idx="75">
                  <c:v>0.81279999999999997</c:v>
                </c:pt>
                <c:pt idx="76">
                  <c:v>0.80149999999999999</c:v>
                </c:pt>
              </c:numCache>
            </c:numRef>
          </c:val>
          <c:smooth val="0"/>
          <c:extLst>
            <c:ext xmlns:c16="http://schemas.microsoft.com/office/drawing/2014/chart" uri="{C3380CC4-5D6E-409C-BE32-E72D297353CC}">
              <c16:uniqueId val="{00000167-848D-440A-8D75-9BC56F2C29E3}"/>
            </c:ext>
          </c:extLst>
        </c:ser>
        <c:dLbls>
          <c:showLegendKey val="0"/>
          <c:showVal val="1"/>
          <c:showCatName val="0"/>
          <c:showSerName val="0"/>
          <c:showPercent val="0"/>
          <c:showBubbleSize val="0"/>
        </c:dLbls>
        <c:marker val="1"/>
        <c:smooth val="0"/>
        <c:axId val="486520264"/>
        <c:axId val="486520656"/>
      </c:lineChart>
      <c:lineChart>
        <c:grouping val="standard"/>
        <c:varyColors val="0"/>
        <c:ser>
          <c:idx val="4"/>
          <c:order val="4"/>
          <c:tx>
            <c:v>HKD-Right Axis</c:v>
          </c:tx>
          <c:spPr>
            <a:ln>
              <a:solidFill>
                <a:srgbClr val="C0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F9-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11-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F-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FC-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FD-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FF-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FE-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100-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101-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102-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103-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104-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106-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105-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107-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108-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109-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10A-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10B-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10C-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10D-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10E-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10F-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110-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111-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112-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113-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114-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115-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116-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117-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119-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118-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11B-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11A-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11E-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11C-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11D-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11F-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122-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121-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120-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124-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123-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126-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125-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128-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129-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12B-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12A-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12C-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12D-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12E-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12F-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130-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131-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132-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133-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1-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6-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6-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4-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6-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1-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6-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6-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1-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C-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B-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1-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3-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1-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6-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1-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6-E23D-4ACE-9739-579FB0D0F4C8}"/>
                </c:ext>
              </c:extLst>
            </c:dLbl>
            <c:dLbl>
              <c:idx val="75"/>
              <c:delete val="1"/>
              <c:extLst>
                <c:ext xmlns:c15="http://schemas.microsoft.com/office/drawing/2012/chart" uri="{CE6537A1-D6FC-4f65-9D91-7224C49458BB}"/>
                <c:ext xmlns:c16="http://schemas.microsoft.com/office/drawing/2014/chart" uri="{C3380CC4-5D6E-409C-BE32-E72D297353CC}">
                  <c16:uniqueId val="{00000006-2F6A-4423-9810-7847C8DDC08A}"/>
                </c:ext>
              </c:extLst>
            </c:dLbl>
            <c:dLbl>
              <c:idx val="76"/>
              <c:layout>
                <c:manualLayout>
                  <c:x val="-8.2111436950146735E-2"/>
                  <c:y val="2.42424242424242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8B-4432-8AC7-4CD49DA871AB}"/>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6.2'!$A$150:$B$226</c:f>
              <c:multiLvlStrCache>
                <c:ptCount val="7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lvl>
                <c:lvl>
                  <c:pt idx="0">
                    <c:v>2020</c:v>
                  </c:pt>
                  <c:pt idx="12">
                    <c:v>2021</c:v>
                  </c:pt>
                  <c:pt idx="24">
                    <c:v>2022</c:v>
                  </c:pt>
                  <c:pt idx="36">
                    <c:v>2023</c:v>
                  </c:pt>
                  <c:pt idx="48">
                    <c:v>2024</c:v>
                  </c:pt>
                  <c:pt idx="60">
                    <c:v>2025</c:v>
                  </c:pt>
                  <c:pt idx="72">
                    <c:v>2026</c:v>
                  </c:pt>
                </c:lvl>
              </c:multiLvlStrCache>
            </c:multiLvlStrRef>
          </c:cat>
          <c:val>
            <c:numRef>
              <c:f>' 6.2'!$G$150:$G$226</c:f>
              <c:numCache>
                <c:formatCode>#,##0.000</c:formatCode>
                <c:ptCount val="77"/>
                <c:pt idx="0">
                  <c:v>17.57</c:v>
                </c:pt>
                <c:pt idx="1">
                  <c:v>17.88</c:v>
                </c:pt>
                <c:pt idx="2">
                  <c:v>18.350000000000001</c:v>
                </c:pt>
                <c:pt idx="3">
                  <c:v>18.2</c:v>
                </c:pt>
                <c:pt idx="4">
                  <c:v>18.23</c:v>
                </c:pt>
                <c:pt idx="5">
                  <c:v>17.98</c:v>
                </c:pt>
                <c:pt idx="6">
                  <c:v>17.740000000000002</c:v>
                </c:pt>
                <c:pt idx="7">
                  <c:v>17.549999999999997</c:v>
                </c:pt>
                <c:pt idx="8">
                  <c:v>17.62</c:v>
                </c:pt>
                <c:pt idx="9">
                  <c:v>17.630000000000003</c:v>
                </c:pt>
                <c:pt idx="10">
                  <c:v>17.309999999999999</c:v>
                </c:pt>
                <c:pt idx="11">
                  <c:v>17.04</c:v>
                </c:pt>
                <c:pt idx="12">
                  <c:v>17.14</c:v>
                </c:pt>
                <c:pt idx="13">
                  <c:v>17.18</c:v>
                </c:pt>
                <c:pt idx="14">
                  <c:v>17.309999999999999</c:v>
                </c:pt>
                <c:pt idx="15">
                  <c:v>17.130000000000003</c:v>
                </c:pt>
                <c:pt idx="16">
                  <c:v>17.03</c:v>
                </c:pt>
                <c:pt idx="17">
                  <c:v>17.330000000000002</c:v>
                </c:pt>
                <c:pt idx="18">
                  <c:v>17.43</c:v>
                </c:pt>
                <c:pt idx="19">
                  <c:v>17.29</c:v>
                </c:pt>
                <c:pt idx="20">
                  <c:v>17.440000000000001</c:v>
                </c:pt>
                <c:pt idx="21">
                  <c:v>17.34</c:v>
                </c:pt>
                <c:pt idx="22">
                  <c:v>17.5</c:v>
                </c:pt>
                <c:pt idx="23">
                  <c:v>17.299999999999997</c:v>
                </c:pt>
                <c:pt idx="24">
                  <c:v>17.34</c:v>
                </c:pt>
                <c:pt idx="25">
                  <c:v>17.349999999999998</c:v>
                </c:pt>
                <c:pt idx="26">
                  <c:v>17.299999999999997</c:v>
                </c:pt>
                <c:pt idx="27">
                  <c:v>17.630000000000003</c:v>
                </c:pt>
                <c:pt idx="28">
                  <c:v>17.47</c:v>
                </c:pt>
                <c:pt idx="29">
                  <c:v>17.71</c:v>
                </c:pt>
                <c:pt idx="30">
                  <c:v>17.59</c:v>
                </c:pt>
                <c:pt idx="31">
                  <c:v>17.8</c:v>
                </c:pt>
                <c:pt idx="32">
                  <c:v>18.3</c:v>
                </c:pt>
                <c:pt idx="33">
                  <c:v>18.05</c:v>
                </c:pt>
                <c:pt idx="34">
                  <c:v>17.43</c:v>
                </c:pt>
                <c:pt idx="35">
                  <c:v>17.190000000000001</c:v>
                </c:pt>
                <c:pt idx="36">
                  <c:v>16.760000000000002</c:v>
                </c:pt>
                <c:pt idx="37">
                  <c:v>17.18</c:v>
                </c:pt>
                <c:pt idx="38">
                  <c:v>16.97</c:v>
                </c:pt>
                <c:pt idx="39">
                  <c:v>17</c:v>
                </c:pt>
                <c:pt idx="40">
                  <c:v>17.27</c:v>
                </c:pt>
                <c:pt idx="41">
                  <c:v>17.260000000000002</c:v>
                </c:pt>
                <c:pt idx="42">
                  <c:v>17.059999999999999</c:v>
                </c:pt>
                <c:pt idx="43">
                  <c:v>17.239999999999998</c:v>
                </c:pt>
                <c:pt idx="44">
                  <c:v>17.45</c:v>
                </c:pt>
                <c:pt idx="45">
                  <c:v>17.510000000000002</c:v>
                </c:pt>
                <c:pt idx="46">
                  <c:v>17.130000000000003</c:v>
                </c:pt>
                <c:pt idx="47">
                  <c:v>16.900000000000002</c:v>
                </c:pt>
                <c:pt idx="48">
                  <c:v>17.14</c:v>
                </c:pt>
                <c:pt idx="49">
                  <c:v>17.190000000000001</c:v>
                </c:pt>
                <c:pt idx="50">
                  <c:v>17.239999999999998</c:v>
                </c:pt>
                <c:pt idx="51">
                  <c:v>17.45</c:v>
                </c:pt>
                <c:pt idx="52">
                  <c:v>17.28</c:v>
                </c:pt>
                <c:pt idx="53">
                  <c:v>17.37</c:v>
                </c:pt>
                <c:pt idx="54">
                  <c:v>17.100000000000001</c:v>
                </c:pt>
                <c:pt idx="55">
                  <c:v>16.760000000000002</c:v>
                </c:pt>
                <c:pt idx="56">
                  <c:v>16.54</c:v>
                </c:pt>
                <c:pt idx="57">
                  <c:v>16.98</c:v>
                </c:pt>
                <c:pt idx="58">
                  <c:v>17.21</c:v>
                </c:pt>
                <c:pt idx="59">
                  <c:v>17.580000000000002</c:v>
                </c:pt>
                <c:pt idx="60">
                  <c:v>17.41</c:v>
                </c:pt>
                <c:pt idx="61">
                  <c:v>17.380000000000003</c:v>
                </c:pt>
                <c:pt idx="62">
                  <c:v>17.260000000000002</c:v>
                </c:pt>
                <c:pt idx="63">
                  <c:v>16.86</c:v>
                </c:pt>
                <c:pt idx="64">
                  <c:v>16.46</c:v>
                </c:pt>
                <c:pt idx="65">
                  <c:v>16.2</c:v>
                </c:pt>
                <c:pt idx="66">
                  <c:v>16.54</c:v>
                </c:pt>
                <c:pt idx="67">
                  <c:v>16.470000000000002</c:v>
                </c:pt>
                <c:pt idx="68">
                  <c:v>16.580000000000002</c:v>
                </c:pt>
                <c:pt idx="69">
                  <c:v>16.75</c:v>
                </c:pt>
                <c:pt idx="70">
                  <c:v>16.66</c:v>
                </c:pt>
                <c:pt idx="71">
                  <c:v>16.520000000000003</c:v>
                </c:pt>
                <c:pt idx="72">
                  <c:v>16.259999999999998</c:v>
                </c:pt>
                <c:pt idx="73">
                  <c:v>16.170000000000002</c:v>
                </c:pt>
                <c:pt idx="74">
                  <c:v>16.420000000000002</c:v>
                </c:pt>
                <c:pt idx="75">
                  <c:v>16.259999999999998</c:v>
                </c:pt>
                <c:pt idx="76">
                  <c:v>16.29</c:v>
                </c:pt>
              </c:numCache>
            </c:numRef>
          </c:val>
          <c:smooth val="0"/>
          <c:extLst>
            <c:ext xmlns:c16="http://schemas.microsoft.com/office/drawing/2014/chart" uri="{C3380CC4-5D6E-409C-BE32-E72D297353CC}">
              <c16:uniqueId val="{000001AF-848D-440A-8D75-9BC56F2C29E3}"/>
            </c:ext>
          </c:extLst>
        </c:ser>
        <c:ser>
          <c:idx val="5"/>
          <c:order val="5"/>
          <c:tx>
            <c:v>MYR - Right Axis</c:v>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3F-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4-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6-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42-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43-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44-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45-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46-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49-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47-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4A-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4B-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4C-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4D-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4E-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4F-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50-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51-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52-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53-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54-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55-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56-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57-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58-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59-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5A-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5B-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5C-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5D-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5E-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5F-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60-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61-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62-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63-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64-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65-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66-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67-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68-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69-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6A-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6B-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6C-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6D-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6E-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6F-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70-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71-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72-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73-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74-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75-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76-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77-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78-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79-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5-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2-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1-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7-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1-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4-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2-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1-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5-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4-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5-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3-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5-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5-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2-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5-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2-E23D-4ACE-9739-579FB0D0F4C8}"/>
                </c:ext>
              </c:extLst>
            </c:dLbl>
            <c:dLbl>
              <c:idx val="75"/>
              <c:delete val="1"/>
              <c:extLst>
                <c:ext xmlns:c15="http://schemas.microsoft.com/office/drawing/2012/chart" uri="{CE6537A1-D6FC-4f65-9D91-7224C49458BB}"/>
                <c:ext xmlns:c16="http://schemas.microsoft.com/office/drawing/2014/chart" uri="{C3380CC4-5D6E-409C-BE32-E72D297353CC}">
                  <c16:uniqueId val="{00000001-2F6A-4423-9810-7847C8DDC08A}"/>
                </c:ext>
              </c:extLst>
            </c:dLbl>
            <c:dLbl>
              <c:idx val="76"/>
              <c:layout>
                <c:manualLayout>
                  <c:x val="-7.4780058651026396E-2"/>
                  <c:y val="-3.6363636363636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68B-4432-8AC7-4CD49DA871AB}"/>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6.2'!$A$150:$B$226</c:f>
              <c:multiLvlStrCache>
                <c:ptCount val="7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lvl>
                <c:lvl>
                  <c:pt idx="0">
                    <c:v>2020</c:v>
                  </c:pt>
                  <c:pt idx="12">
                    <c:v>2021</c:v>
                  </c:pt>
                  <c:pt idx="24">
                    <c:v>2022</c:v>
                  </c:pt>
                  <c:pt idx="36">
                    <c:v>2023</c:v>
                  </c:pt>
                  <c:pt idx="48">
                    <c:v>2024</c:v>
                  </c:pt>
                  <c:pt idx="60">
                    <c:v>2025</c:v>
                  </c:pt>
                  <c:pt idx="72">
                    <c:v>2026</c:v>
                  </c:pt>
                </c:lvl>
              </c:multiLvlStrCache>
            </c:multiLvlStrRef>
          </c:cat>
          <c:val>
            <c:numRef>
              <c:f>' 6.2'!$H$150:$H$226</c:f>
              <c:numCache>
                <c:formatCode>#,##0.000</c:formatCode>
                <c:ptCount val="77"/>
                <c:pt idx="0">
                  <c:v>33.300000000000004</c:v>
                </c:pt>
                <c:pt idx="1">
                  <c:v>33.07</c:v>
                </c:pt>
                <c:pt idx="2">
                  <c:v>32.950000000000003</c:v>
                </c:pt>
                <c:pt idx="3">
                  <c:v>32.83</c:v>
                </c:pt>
                <c:pt idx="4">
                  <c:v>32.5</c:v>
                </c:pt>
                <c:pt idx="5">
                  <c:v>32.53</c:v>
                </c:pt>
                <c:pt idx="6">
                  <c:v>32.43</c:v>
                </c:pt>
                <c:pt idx="7">
                  <c:v>32.67</c:v>
                </c:pt>
                <c:pt idx="8">
                  <c:v>32.86</c:v>
                </c:pt>
                <c:pt idx="9">
                  <c:v>32.9</c:v>
                </c:pt>
                <c:pt idx="10">
                  <c:v>32.93</c:v>
                </c:pt>
                <c:pt idx="11">
                  <c:v>32.86</c:v>
                </c:pt>
                <c:pt idx="12">
                  <c:v>32.9</c:v>
                </c:pt>
                <c:pt idx="13">
                  <c:v>32.910000000000004</c:v>
                </c:pt>
                <c:pt idx="14">
                  <c:v>32.450000000000003</c:v>
                </c:pt>
                <c:pt idx="15">
                  <c:v>32.49</c:v>
                </c:pt>
                <c:pt idx="16">
                  <c:v>32.07</c:v>
                </c:pt>
                <c:pt idx="17">
                  <c:v>32.409999999999997</c:v>
                </c:pt>
                <c:pt idx="18">
                  <c:v>32.090000000000003</c:v>
                </c:pt>
                <c:pt idx="19">
                  <c:v>32.379999999999995</c:v>
                </c:pt>
                <c:pt idx="20">
                  <c:v>32.440000000000005</c:v>
                </c:pt>
                <c:pt idx="21">
                  <c:v>32.57</c:v>
                </c:pt>
                <c:pt idx="22">
                  <c:v>32.450000000000003</c:v>
                </c:pt>
                <c:pt idx="23">
                  <c:v>32.39</c:v>
                </c:pt>
                <c:pt idx="24">
                  <c:v>32.369999999999997</c:v>
                </c:pt>
                <c:pt idx="25">
                  <c:v>32.33</c:v>
                </c:pt>
                <c:pt idx="26">
                  <c:v>32.24</c:v>
                </c:pt>
                <c:pt idx="27">
                  <c:v>31.740000000000002</c:v>
                </c:pt>
                <c:pt idx="28">
                  <c:v>31.31</c:v>
                </c:pt>
                <c:pt idx="29">
                  <c:v>31.630000000000003</c:v>
                </c:pt>
                <c:pt idx="30">
                  <c:v>30.990000000000002</c:v>
                </c:pt>
                <c:pt idx="31">
                  <c:v>31.25</c:v>
                </c:pt>
                <c:pt idx="32">
                  <c:v>30.97</c:v>
                </c:pt>
                <c:pt idx="33">
                  <c:v>29.959999999999997</c:v>
                </c:pt>
                <c:pt idx="34">
                  <c:v>30.73</c:v>
                </c:pt>
                <c:pt idx="35">
                  <c:v>30.44</c:v>
                </c:pt>
                <c:pt idx="36">
                  <c:v>30.79</c:v>
                </c:pt>
                <c:pt idx="37">
                  <c:v>30.049999999999997</c:v>
                </c:pt>
                <c:pt idx="38">
                  <c:v>30.130000000000003</c:v>
                </c:pt>
                <c:pt idx="39">
                  <c:v>29.970000000000002</c:v>
                </c:pt>
                <c:pt idx="40">
                  <c:v>29.310000000000002</c:v>
                </c:pt>
                <c:pt idx="41">
                  <c:v>29.060000000000002</c:v>
                </c:pt>
                <c:pt idx="42">
                  <c:v>29.5</c:v>
                </c:pt>
                <c:pt idx="43">
                  <c:v>29.12</c:v>
                </c:pt>
                <c:pt idx="44">
                  <c:v>29.04</c:v>
                </c:pt>
                <c:pt idx="45">
                  <c:v>28.749999999999996</c:v>
                </c:pt>
                <c:pt idx="46">
                  <c:v>28.689999999999998</c:v>
                </c:pt>
                <c:pt idx="47">
                  <c:v>28.720000000000002</c:v>
                </c:pt>
                <c:pt idx="48">
                  <c:v>28.32</c:v>
                </c:pt>
                <c:pt idx="49">
                  <c:v>28.37</c:v>
                </c:pt>
                <c:pt idx="50">
                  <c:v>28.549999999999997</c:v>
                </c:pt>
                <c:pt idx="51">
                  <c:v>28.610000000000003</c:v>
                </c:pt>
                <c:pt idx="52">
                  <c:v>28.720000000000002</c:v>
                </c:pt>
                <c:pt idx="53">
                  <c:v>28.720000000000002</c:v>
                </c:pt>
                <c:pt idx="54">
                  <c:v>28.720000000000002</c:v>
                </c:pt>
                <c:pt idx="55">
                  <c:v>30.209999999999997</c:v>
                </c:pt>
                <c:pt idx="56">
                  <c:v>31.12</c:v>
                </c:pt>
                <c:pt idx="57">
                  <c:v>30.220000000000002</c:v>
                </c:pt>
                <c:pt idx="58">
                  <c:v>30.16</c:v>
                </c:pt>
                <c:pt idx="59">
                  <c:v>30.470000000000002</c:v>
                </c:pt>
                <c:pt idx="60">
                  <c:v>30.43</c:v>
                </c:pt>
                <c:pt idx="61">
                  <c:v>30.29</c:v>
                </c:pt>
                <c:pt idx="62">
                  <c:v>30.23</c:v>
                </c:pt>
                <c:pt idx="63">
                  <c:v>30.270000000000003</c:v>
                </c:pt>
                <c:pt idx="64">
                  <c:v>30.29</c:v>
                </c:pt>
                <c:pt idx="65">
                  <c:v>30.3</c:v>
                </c:pt>
                <c:pt idx="66">
                  <c:v>30.4</c:v>
                </c:pt>
                <c:pt idx="67">
                  <c:v>30.37</c:v>
                </c:pt>
                <c:pt idx="68">
                  <c:v>30.659999999999997</c:v>
                </c:pt>
                <c:pt idx="69">
                  <c:v>31.07</c:v>
                </c:pt>
                <c:pt idx="70">
                  <c:v>31.419999999999998</c:v>
                </c:pt>
                <c:pt idx="71">
                  <c:v>31.69</c:v>
                </c:pt>
                <c:pt idx="72">
                  <c:v>32.1</c:v>
                </c:pt>
                <c:pt idx="73">
                  <c:v>32.1</c:v>
                </c:pt>
                <c:pt idx="74">
                  <c:v>32.1</c:v>
                </c:pt>
                <c:pt idx="75">
                  <c:v>32.1</c:v>
                </c:pt>
                <c:pt idx="76">
                  <c:v>32.1</c:v>
                </c:pt>
              </c:numCache>
            </c:numRef>
          </c:val>
          <c:smooth val="0"/>
          <c:extLst>
            <c:ext xmlns:c16="http://schemas.microsoft.com/office/drawing/2014/chart" uri="{C3380CC4-5D6E-409C-BE32-E72D297353CC}">
              <c16:uniqueId val="{000001F7-848D-440A-8D75-9BC56F2C29E3}"/>
            </c:ext>
          </c:extLst>
        </c:ser>
        <c:ser>
          <c:idx val="7"/>
          <c:order val="7"/>
          <c:tx>
            <c:v>THB - Right Axis</c:v>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138-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9-1BCD-4186-A6AE-34A2B10C34C1}"/>
                </c:ext>
              </c:extLst>
            </c:dLbl>
            <c:dLbl>
              <c:idx val="2"/>
              <c:delete val="1"/>
              <c:extLst>
                <c:ext xmlns:c15="http://schemas.microsoft.com/office/drawing/2012/chart" uri="{CE6537A1-D6FC-4f65-9D91-7224C49458BB}"/>
                <c:ext xmlns:c16="http://schemas.microsoft.com/office/drawing/2014/chart" uri="{C3380CC4-5D6E-409C-BE32-E72D297353CC}">
                  <c16:uniqueId val="{00000008-1BCD-4186-A6AE-34A2B10C34C1}"/>
                </c:ext>
              </c:extLst>
            </c:dLbl>
            <c:dLbl>
              <c:idx val="3"/>
              <c:delete val="1"/>
              <c:extLst>
                <c:ext xmlns:c15="http://schemas.microsoft.com/office/drawing/2012/chart" uri="{CE6537A1-D6FC-4f65-9D91-7224C49458BB}"/>
                <c:ext xmlns:c16="http://schemas.microsoft.com/office/drawing/2014/chart" uri="{C3380CC4-5D6E-409C-BE32-E72D297353CC}">
                  <c16:uniqueId val="{0000013C-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13B-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13E-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13D-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140-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13F-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141-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142-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144-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143-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145-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146-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147-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148-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149-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152-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150-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14F-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151-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14E-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14D-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14C-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14B-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14A-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155-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154-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153-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15C-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156-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15B-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15A-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159-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157-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158-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15D-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15E-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15F-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160-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161-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16A-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162-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16B-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16C-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163-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16E-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16D-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169-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16F-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164-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170-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168-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165-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171-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172-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167-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0-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7-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7-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5-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7-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0-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7-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7-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0-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F-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E-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0-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0-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0-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7-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0-70B5-4487-A94C-A508B4384DFF}"/>
                </c:ext>
              </c:extLst>
            </c:dLbl>
            <c:dLbl>
              <c:idx val="74"/>
              <c:delete val="1"/>
              <c:extLst>
                <c:ext xmlns:c15="http://schemas.microsoft.com/office/drawing/2012/chart" uri="{CE6537A1-D6FC-4f65-9D91-7224C49458BB}"/>
                <c:ext xmlns:c16="http://schemas.microsoft.com/office/drawing/2014/chart" uri="{C3380CC4-5D6E-409C-BE32-E72D297353CC}">
                  <c16:uniqueId val="{00000007-E23D-4ACE-9739-579FB0D0F4C8}"/>
                </c:ext>
              </c:extLst>
            </c:dLbl>
            <c:dLbl>
              <c:idx val="75"/>
              <c:delete val="1"/>
              <c:extLst>
                <c:ext xmlns:c15="http://schemas.microsoft.com/office/drawing/2012/chart" uri="{CE6537A1-D6FC-4f65-9D91-7224C49458BB}"/>
                <c:ext xmlns:c16="http://schemas.microsoft.com/office/drawing/2014/chart" uri="{C3380CC4-5D6E-409C-BE32-E72D297353CC}">
                  <c16:uniqueId val="{00000007-2F6A-4423-9810-7847C8DDC08A}"/>
                </c:ext>
              </c:extLst>
            </c:dLbl>
            <c:dLbl>
              <c:idx val="76"/>
              <c:layout>
                <c:manualLayout>
                  <c:x val="-6.8914956011730311E-2"/>
                  <c:y val="-3.03030303030303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8B-4432-8AC7-4CD49DA871AB}"/>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6.2'!$A$150:$B$226</c:f>
              <c:multiLvlStrCache>
                <c:ptCount val="7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lvl>
                <c:lvl>
                  <c:pt idx="0">
                    <c:v>2020</c:v>
                  </c:pt>
                  <c:pt idx="12">
                    <c:v>2021</c:v>
                  </c:pt>
                  <c:pt idx="24">
                    <c:v>2022</c:v>
                  </c:pt>
                  <c:pt idx="36">
                    <c:v>2023</c:v>
                  </c:pt>
                  <c:pt idx="48">
                    <c:v>2024</c:v>
                  </c:pt>
                  <c:pt idx="60">
                    <c:v>2025</c:v>
                  </c:pt>
                  <c:pt idx="72">
                    <c:v>2026</c:v>
                  </c:pt>
                </c:lvl>
              </c:multiLvlStrCache>
            </c:multiLvlStrRef>
          </c:cat>
          <c:val>
            <c:numRef>
              <c:f>' 6.2'!$J$150:$J$226</c:f>
              <c:numCache>
                <c:formatCode>#,##0.000</c:formatCode>
                <c:ptCount val="77"/>
                <c:pt idx="0">
                  <c:v>4.37</c:v>
                </c:pt>
                <c:pt idx="1">
                  <c:v>4.42</c:v>
                </c:pt>
                <c:pt idx="2">
                  <c:v>4.34</c:v>
                </c:pt>
                <c:pt idx="3">
                  <c:v>4.3499999999999996</c:v>
                </c:pt>
                <c:pt idx="4">
                  <c:v>4.4400000000000004</c:v>
                </c:pt>
                <c:pt idx="5">
                  <c:v>4.51</c:v>
                </c:pt>
                <c:pt idx="6">
                  <c:v>4.3999999999999995</c:v>
                </c:pt>
                <c:pt idx="7">
                  <c:v>4.38</c:v>
                </c:pt>
                <c:pt idx="8">
                  <c:v>4.32</c:v>
                </c:pt>
                <c:pt idx="9">
                  <c:v>4.3900000000000006</c:v>
                </c:pt>
                <c:pt idx="10">
                  <c:v>4.43</c:v>
                </c:pt>
                <c:pt idx="11">
                  <c:v>4.41</c:v>
                </c:pt>
                <c:pt idx="12">
                  <c:v>4.4400000000000004</c:v>
                </c:pt>
                <c:pt idx="13">
                  <c:v>4.37</c:v>
                </c:pt>
                <c:pt idx="14">
                  <c:v>4.3099999999999996</c:v>
                </c:pt>
                <c:pt idx="15">
                  <c:v>4.2700000000000005</c:v>
                </c:pt>
                <c:pt idx="16">
                  <c:v>4.24</c:v>
                </c:pt>
                <c:pt idx="17">
                  <c:v>4.2</c:v>
                </c:pt>
                <c:pt idx="18">
                  <c:v>4.1099999999999994</c:v>
                </c:pt>
                <c:pt idx="19">
                  <c:v>4.17</c:v>
                </c:pt>
                <c:pt idx="20">
                  <c:v>4.04</c:v>
                </c:pt>
                <c:pt idx="21">
                  <c:v>4.05</c:v>
                </c:pt>
                <c:pt idx="22">
                  <c:v>4.05</c:v>
                </c:pt>
                <c:pt idx="23">
                  <c:v>4.0599999999999996</c:v>
                </c:pt>
                <c:pt idx="24">
                  <c:v>4.07</c:v>
                </c:pt>
                <c:pt idx="25">
                  <c:v>4.1500000000000004</c:v>
                </c:pt>
                <c:pt idx="26">
                  <c:v>4.08</c:v>
                </c:pt>
                <c:pt idx="27">
                  <c:v>4.04</c:v>
                </c:pt>
                <c:pt idx="28">
                  <c:v>4</c:v>
                </c:pt>
                <c:pt idx="29">
                  <c:v>3.94</c:v>
                </c:pt>
                <c:pt idx="30">
                  <c:v>3.81</c:v>
                </c:pt>
                <c:pt idx="31">
                  <c:v>3.82</c:v>
                </c:pt>
                <c:pt idx="32">
                  <c:v>3.8</c:v>
                </c:pt>
                <c:pt idx="33">
                  <c:v>3.73</c:v>
                </c:pt>
                <c:pt idx="34">
                  <c:v>3.88</c:v>
                </c:pt>
                <c:pt idx="35">
                  <c:v>3.88</c:v>
                </c:pt>
                <c:pt idx="36">
                  <c:v>4.01</c:v>
                </c:pt>
                <c:pt idx="37">
                  <c:v>3.83</c:v>
                </c:pt>
                <c:pt idx="38">
                  <c:v>3.9</c:v>
                </c:pt>
                <c:pt idx="39">
                  <c:v>3.91</c:v>
                </c:pt>
                <c:pt idx="40">
                  <c:v>3.9</c:v>
                </c:pt>
                <c:pt idx="41">
                  <c:v>3.83</c:v>
                </c:pt>
                <c:pt idx="42">
                  <c:v>3.88</c:v>
                </c:pt>
                <c:pt idx="43">
                  <c:v>3.8600000000000003</c:v>
                </c:pt>
                <c:pt idx="44">
                  <c:v>3.74</c:v>
                </c:pt>
                <c:pt idx="45">
                  <c:v>3.7900000000000005</c:v>
                </c:pt>
                <c:pt idx="46">
                  <c:v>3.7900000000000005</c:v>
                </c:pt>
                <c:pt idx="47">
                  <c:v>3.84</c:v>
                </c:pt>
                <c:pt idx="48">
                  <c:v>3.7699999999999996</c:v>
                </c:pt>
                <c:pt idx="49">
                  <c:v>3.75</c:v>
                </c:pt>
                <c:pt idx="50">
                  <c:v>3.71</c:v>
                </c:pt>
                <c:pt idx="51">
                  <c:v>3.6799999999999997</c:v>
                </c:pt>
                <c:pt idx="52">
                  <c:v>3.6700000000000004</c:v>
                </c:pt>
                <c:pt idx="53">
                  <c:v>3.6900000000000004</c:v>
                </c:pt>
                <c:pt idx="54">
                  <c:v>3.7600000000000002</c:v>
                </c:pt>
                <c:pt idx="55">
                  <c:v>3.84</c:v>
                </c:pt>
                <c:pt idx="56">
                  <c:v>3.96</c:v>
                </c:pt>
                <c:pt idx="57">
                  <c:v>3.91</c:v>
                </c:pt>
                <c:pt idx="58">
                  <c:v>3.91</c:v>
                </c:pt>
                <c:pt idx="59">
                  <c:v>3.9800000000000004</c:v>
                </c:pt>
                <c:pt idx="60">
                  <c:v>4.0199999999999996</c:v>
                </c:pt>
                <c:pt idx="61">
                  <c:v>3.95</c:v>
                </c:pt>
                <c:pt idx="62">
                  <c:v>3.96</c:v>
                </c:pt>
                <c:pt idx="63">
                  <c:v>3.91</c:v>
                </c:pt>
                <c:pt idx="64">
                  <c:v>3.93</c:v>
                </c:pt>
                <c:pt idx="65">
                  <c:v>3.92</c:v>
                </c:pt>
                <c:pt idx="66">
                  <c:v>3.9699999999999998</c:v>
                </c:pt>
                <c:pt idx="67">
                  <c:v>3.9699999999999998</c:v>
                </c:pt>
                <c:pt idx="68">
                  <c:v>3.9800000000000004</c:v>
                </c:pt>
                <c:pt idx="69">
                  <c:v>4.0199999999999996</c:v>
                </c:pt>
                <c:pt idx="70">
                  <c:v>4.04</c:v>
                </c:pt>
                <c:pt idx="71">
                  <c:v>4.08</c:v>
                </c:pt>
                <c:pt idx="72">
                  <c:v>4.03</c:v>
                </c:pt>
                <c:pt idx="73">
                  <c:v>4.08</c:v>
                </c:pt>
                <c:pt idx="74">
                  <c:v>3.94</c:v>
                </c:pt>
                <c:pt idx="75">
                  <c:v>3.92</c:v>
                </c:pt>
                <c:pt idx="76">
                  <c:v>3.93</c:v>
                </c:pt>
              </c:numCache>
            </c:numRef>
          </c:val>
          <c:smooth val="0"/>
          <c:extLst>
            <c:ext xmlns:c16="http://schemas.microsoft.com/office/drawing/2014/chart" uri="{C3380CC4-5D6E-409C-BE32-E72D297353CC}">
              <c16:uniqueId val="{0000023F-848D-440A-8D75-9BC56F2C29E3}"/>
            </c:ext>
          </c:extLst>
        </c:ser>
        <c:dLbls>
          <c:showLegendKey val="0"/>
          <c:showVal val="1"/>
          <c:showCatName val="0"/>
          <c:showSerName val="0"/>
          <c:showPercent val="0"/>
          <c:showBubbleSize val="0"/>
        </c:dLbls>
        <c:marker val="1"/>
        <c:smooth val="0"/>
        <c:axId val="486336400"/>
        <c:axId val="486521048"/>
      </c:lineChart>
      <c:catAx>
        <c:axId val="486520264"/>
        <c:scaling>
          <c:orientation val="minMax"/>
        </c:scaling>
        <c:delete val="0"/>
        <c:axPos val="b"/>
        <c:numFmt formatCode="General" sourceLinked="0"/>
        <c:majorTickMark val="none"/>
        <c:minorTickMark val="none"/>
        <c:tickLblPos val="nextTo"/>
        <c:txPr>
          <a:bodyPr/>
          <a:lstStyle/>
          <a:p>
            <a:pPr>
              <a:defRPr sz="1100" b="1">
                <a:latin typeface="Geomanist" panose="02000503000000020004" pitchFamily="50" charset="0"/>
              </a:defRPr>
            </a:pPr>
            <a:endParaRPr lang="en-US"/>
          </a:p>
        </c:txPr>
        <c:crossAx val="486520656"/>
        <c:crosses val="autoZero"/>
        <c:auto val="1"/>
        <c:lblAlgn val="ctr"/>
        <c:lblOffset val="100"/>
        <c:tickLblSkip val="1"/>
        <c:noMultiLvlLbl val="0"/>
      </c:catAx>
      <c:valAx>
        <c:axId val="486520656"/>
        <c:scaling>
          <c:orientation val="minMax"/>
        </c:scaling>
        <c:delete val="0"/>
        <c:axPos val="l"/>
        <c:majorGridlines>
          <c:spPr>
            <a:ln>
              <a:solidFill>
                <a:schemeClr val="bg1">
                  <a:lumMod val="75000"/>
                </a:schemeClr>
              </a:solidFill>
              <a:prstDash val="dash"/>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to 1 unit of foreign currency (except JPY)</a:t>
                </a:r>
              </a:p>
            </c:rich>
          </c:tx>
          <c:layout>
            <c:manualLayout>
              <c:xMode val="edge"/>
              <c:yMode val="edge"/>
              <c:x val="3.6858937354238355E-3"/>
              <c:y val="0.19039417800047723"/>
            </c:manualLayout>
          </c:layout>
          <c:overlay val="0"/>
        </c:title>
        <c:numFmt formatCode="#,##0.000" sourceLinked="1"/>
        <c:majorTickMark val="none"/>
        <c:minorTickMark val="none"/>
        <c:tickLblPos val="nextTo"/>
        <c:txPr>
          <a:bodyPr/>
          <a:lstStyle/>
          <a:p>
            <a:pPr>
              <a:defRPr sz="1100" b="1">
                <a:latin typeface="Geomanist" panose="02000503000000020004" pitchFamily="50" charset="0"/>
              </a:defRPr>
            </a:pPr>
            <a:endParaRPr lang="en-US"/>
          </a:p>
        </c:txPr>
        <c:crossAx val="486520264"/>
        <c:crosses val="autoZero"/>
        <c:crossBetween val="between"/>
      </c:valAx>
      <c:valAx>
        <c:axId val="486521048"/>
        <c:scaling>
          <c:orientation val="minMax"/>
          <c:max val="43"/>
          <c:min val="0"/>
        </c:scaling>
        <c:delete val="0"/>
        <c:axPos val="r"/>
        <c:title>
          <c:tx>
            <c:rich>
              <a:bodyPr rot="-5400000" vert="horz"/>
              <a:lstStyle/>
              <a:p>
                <a:pPr>
                  <a:defRPr sz="1200">
                    <a:latin typeface="Heuristica" panose="02020603050705020204" pitchFamily="18" charset="0"/>
                  </a:defRPr>
                </a:pPr>
                <a:r>
                  <a:rPr lang="en-US" sz="1200">
                    <a:latin typeface="Heuristica" panose="02020603050705020204" pitchFamily="18" charset="0"/>
                  </a:rPr>
                  <a:t>BND to 100 unit of foreign currency</a:t>
                </a:r>
              </a:p>
            </c:rich>
          </c:tx>
          <c:layout>
            <c:manualLayout>
              <c:xMode val="edge"/>
              <c:yMode val="edge"/>
              <c:x val="0.97045581545708526"/>
              <c:y val="0.26863485246162411"/>
            </c:manualLayout>
          </c:layout>
          <c:overlay val="0"/>
        </c:title>
        <c:numFmt formatCode="#,##0.000" sourceLinked="1"/>
        <c:majorTickMark val="out"/>
        <c:minorTickMark val="none"/>
        <c:tickLblPos val="nextTo"/>
        <c:txPr>
          <a:bodyPr/>
          <a:lstStyle/>
          <a:p>
            <a:pPr>
              <a:defRPr sz="1100" b="1">
                <a:latin typeface="Geomanist" panose="02000503000000020004" pitchFamily="50" charset="0"/>
              </a:defRPr>
            </a:pPr>
            <a:endParaRPr lang="en-US"/>
          </a:p>
        </c:txPr>
        <c:crossAx val="486336400"/>
        <c:crosses val="max"/>
        <c:crossBetween val="between"/>
      </c:valAx>
      <c:catAx>
        <c:axId val="486336400"/>
        <c:scaling>
          <c:orientation val="minMax"/>
        </c:scaling>
        <c:delete val="1"/>
        <c:axPos val="b"/>
        <c:numFmt formatCode="General" sourceLinked="1"/>
        <c:majorTickMark val="out"/>
        <c:minorTickMark val="none"/>
        <c:tickLblPos val="nextTo"/>
        <c:crossAx val="486521048"/>
        <c:crosses val="autoZero"/>
        <c:auto val="1"/>
        <c:lblAlgn val="ctr"/>
        <c:lblOffset val="100"/>
        <c:noMultiLvlLbl val="0"/>
      </c:catAx>
      <c:spPr>
        <a:noFill/>
        <a:ln w="25400">
          <a:noFill/>
        </a:ln>
      </c:spPr>
    </c:plotArea>
    <c:legend>
      <c:legendPos val="r"/>
      <c:layout>
        <c:manualLayout>
          <c:xMode val="edge"/>
          <c:yMode val="edge"/>
          <c:x val="0.13819625002886368"/>
          <c:y val="0.92942479917283072"/>
          <c:w val="0.71566197920274632"/>
          <c:h val="5.7250510352872555E-2"/>
        </c:manualLayout>
      </c:layout>
      <c:overlay val="0"/>
      <c:txPr>
        <a:bodyPr/>
        <a:lstStyle/>
        <a:p>
          <a:pPr>
            <a:defRPr sz="1000" b="1">
              <a:latin typeface="Geomanist" panose="02000503000000020004" pitchFamily="50" charset="0"/>
            </a:defRPr>
          </a:pPr>
          <a:endParaRPr lang="en-US"/>
        </a:p>
      </c:txPr>
    </c:legend>
    <c:plotVisOnly val="1"/>
    <c:dispBlanksAs val="gap"/>
    <c:showDLblsOverMax val="0"/>
  </c:chart>
  <c:txPr>
    <a:bodyPr/>
    <a:lstStyle/>
    <a:p>
      <a:pPr>
        <a:defRPr>
          <a:latin typeface="Geomanist" panose="02000503000000020004" pitchFamily="50"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2000" b="1" i="0" u="none" strike="noStrike" kern="1200" baseline="0">
                <a:solidFill>
                  <a:srgbClr val="006E59"/>
                </a:solidFill>
                <a:latin typeface="Heuristica" panose="02020603050705020204" pitchFamily="18" charset="0"/>
                <a:ea typeface="+mn-ea"/>
                <a:cs typeface="+mn-cs"/>
              </a:defRPr>
            </a:pPr>
            <a:r>
              <a:rPr lang="en-US" sz="2000" b="1" i="0" u="none" strike="noStrike" kern="1200" baseline="0">
                <a:solidFill>
                  <a:srgbClr val="006E59"/>
                </a:solidFill>
                <a:latin typeface="Heuristica" panose="02020603050705020204" pitchFamily="18" charset="0"/>
                <a:ea typeface="+mn-ea"/>
                <a:cs typeface="+mn-cs"/>
              </a:rPr>
              <a:t>Chart 2.1 &amp; 2.2: </a:t>
            </a:r>
            <a:r>
              <a:rPr lang="en-US" sz="2000" b="1" i="0" u="none" strike="noStrike" kern="1200" baseline="0">
                <a:solidFill>
                  <a:srgbClr val="D4C029"/>
                </a:solidFill>
                <a:latin typeface="Heuristica" panose="02020603050705020204" pitchFamily="18" charset="0"/>
                <a:ea typeface="+mn-ea"/>
                <a:cs typeface="+mn-cs"/>
              </a:rPr>
              <a:t>Banking System: Assets and Deposits</a:t>
            </a:r>
          </a:p>
        </c:rich>
      </c:tx>
      <c:layout>
        <c:manualLayout>
          <c:xMode val="edge"/>
          <c:yMode val="edge"/>
          <c:x val="0.19419089292724037"/>
          <c:y val="2.0943609321562077E-2"/>
        </c:manualLayout>
      </c:layout>
      <c:overlay val="0"/>
      <c:spPr>
        <a:noFill/>
        <a:ln>
          <a:noFill/>
        </a:ln>
        <a:effectLst/>
      </c:spPr>
      <c:txPr>
        <a:bodyPr rot="0" spcFirstLastPara="1" vertOverflow="ellipsis" vert="horz" wrap="square" anchor="ctr" anchorCtr="1"/>
        <a:lstStyle/>
        <a:p>
          <a:pPr algn="ctr" rtl="0">
            <a:defRPr lang="en-US" sz="2000" b="1" i="0" u="none" strike="noStrike" kern="1200" baseline="0">
              <a:solidFill>
                <a:srgbClr val="006E59"/>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0.10376294092277025"/>
          <c:y val="0.10264083345717992"/>
          <c:w val="0.88413607776425351"/>
          <c:h val="0.74986684172086115"/>
        </c:manualLayout>
      </c:layout>
      <c:barChart>
        <c:barDir val="col"/>
        <c:grouping val="clustered"/>
        <c:varyColors val="0"/>
        <c:ser>
          <c:idx val="0"/>
          <c:order val="0"/>
          <c:tx>
            <c:v>Assets</c:v>
          </c:tx>
          <c:spPr>
            <a:solidFill>
              <a:srgbClr val="006E59"/>
            </a:solidFill>
            <a:ln w="6350">
              <a:solidFill>
                <a:srgbClr val="006E59"/>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2A22-49CF-A307-162310A05DD4}"/>
                </c:ext>
              </c:extLst>
            </c:dLbl>
            <c:dLbl>
              <c:idx val="1"/>
              <c:delete val="1"/>
              <c:extLst>
                <c:ext xmlns:c15="http://schemas.microsoft.com/office/drawing/2012/chart" uri="{CE6537A1-D6FC-4f65-9D91-7224C49458BB}"/>
                <c:ext xmlns:c16="http://schemas.microsoft.com/office/drawing/2014/chart" uri="{C3380CC4-5D6E-409C-BE32-E72D297353CC}">
                  <c16:uniqueId val="{0000000D-2A22-49CF-A307-162310A05DD4}"/>
                </c:ext>
              </c:extLst>
            </c:dLbl>
            <c:dLbl>
              <c:idx val="2"/>
              <c:delete val="1"/>
              <c:extLst>
                <c:ext xmlns:c15="http://schemas.microsoft.com/office/drawing/2012/chart" uri="{CE6537A1-D6FC-4f65-9D91-7224C49458BB}"/>
                <c:ext xmlns:c16="http://schemas.microsoft.com/office/drawing/2014/chart" uri="{C3380CC4-5D6E-409C-BE32-E72D297353CC}">
                  <c16:uniqueId val="{0000000E-2A22-49CF-A307-162310A05DD4}"/>
                </c:ext>
              </c:extLst>
            </c:dLbl>
            <c:dLbl>
              <c:idx val="3"/>
              <c:delete val="1"/>
              <c:extLst>
                <c:ext xmlns:c15="http://schemas.microsoft.com/office/drawing/2012/chart" uri="{CE6537A1-D6FC-4f65-9D91-7224C49458BB}"/>
                <c:ext xmlns:c16="http://schemas.microsoft.com/office/drawing/2014/chart" uri="{C3380CC4-5D6E-409C-BE32-E72D297353CC}">
                  <c16:uniqueId val="{0000000F-2A22-49CF-A307-162310A05DD4}"/>
                </c:ext>
              </c:extLst>
            </c:dLbl>
            <c:dLbl>
              <c:idx val="4"/>
              <c:delete val="1"/>
              <c:extLst>
                <c:ext xmlns:c15="http://schemas.microsoft.com/office/drawing/2012/chart" uri="{CE6537A1-D6FC-4f65-9D91-7224C49458BB}"/>
                <c:ext xmlns:c16="http://schemas.microsoft.com/office/drawing/2014/chart" uri="{C3380CC4-5D6E-409C-BE32-E72D297353CC}">
                  <c16:uniqueId val="{00000010-2A22-49CF-A307-162310A05DD4}"/>
                </c:ext>
              </c:extLst>
            </c:dLbl>
            <c:dLbl>
              <c:idx val="5"/>
              <c:delete val="1"/>
              <c:extLst>
                <c:ext xmlns:c15="http://schemas.microsoft.com/office/drawing/2012/chart" uri="{CE6537A1-D6FC-4f65-9D91-7224C49458BB}"/>
                <c:ext xmlns:c16="http://schemas.microsoft.com/office/drawing/2014/chart" uri="{C3380CC4-5D6E-409C-BE32-E72D297353CC}">
                  <c16:uniqueId val="{00000011-2A22-49CF-A307-162310A05DD4}"/>
                </c:ext>
              </c:extLst>
            </c:dLbl>
            <c:dLbl>
              <c:idx val="6"/>
              <c:delete val="1"/>
              <c:extLst>
                <c:ext xmlns:c15="http://schemas.microsoft.com/office/drawing/2012/chart" uri="{CE6537A1-D6FC-4f65-9D91-7224C49458BB}"/>
                <c:ext xmlns:c16="http://schemas.microsoft.com/office/drawing/2014/chart" uri="{C3380CC4-5D6E-409C-BE32-E72D297353CC}">
                  <c16:uniqueId val="{00000012-2A22-49CF-A307-162310A05DD4}"/>
                </c:ext>
              </c:extLst>
            </c:dLbl>
            <c:dLbl>
              <c:idx val="7"/>
              <c:delete val="1"/>
              <c:extLst>
                <c:ext xmlns:c15="http://schemas.microsoft.com/office/drawing/2012/chart" uri="{CE6537A1-D6FC-4f65-9D91-7224C49458BB}"/>
                <c:ext xmlns:c16="http://schemas.microsoft.com/office/drawing/2014/chart" uri="{C3380CC4-5D6E-409C-BE32-E72D297353CC}">
                  <c16:uniqueId val="{00000013-2A22-49CF-A307-162310A05DD4}"/>
                </c:ext>
              </c:extLst>
            </c:dLbl>
            <c:dLbl>
              <c:idx val="8"/>
              <c:delete val="1"/>
              <c:extLst>
                <c:ext xmlns:c15="http://schemas.microsoft.com/office/drawing/2012/chart" uri="{CE6537A1-D6FC-4f65-9D91-7224C49458BB}"/>
                <c:ext xmlns:c16="http://schemas.microsoft.com/office/drawing/2014/chart" uri="{C3380CC4-5D6E-409C-BE32-E72D297353CC}">
                  <c16:uniqueId val="{00000014-2A22-49CF-A307-162310A05DD4}"/>
                </c:ext>
              </c:extLst>
            </c:dLbl>
            <c:dLbl>
              <c:idx val="9"/>
              <c:delete val="1"/>
              <c:extLst>
                <c:ext xmlns:c15="http://schemas.microsoft.com/office/drawing/2012/chart" uri="{CE6537A1-D6FC-4f65-9D91-7224C49458BB}"/>
                <c:ext xmlns:c16="http://schemas.microsoft.com/office/drawing/2014/chart" uri="{C3380CC4-5D6E-409C-BE32-E72D297353CC}">
                  <c16:uniqueId val="{00000015-2A22-49CF-A307-162310A05DD4}"/>
                </c:ext>
              </c:extLst>
            </c:dLbl>
            <c:dLbl>
              <c:idx val="10"/>
              <c:delete val="1"/>
              <c:extLst>
                <c:ext xmlns:c15="http://schemas.microsoft.com/office/drawing/2012/chart" uri="{CE6537A1-D6FC-4f65-9D91-7224C49458BB}"/>
                <c:ext xmlns:c16="http://schemas.microsoft.com/office/drawing/2014/chart" uri="{C3380CC4-5D6E-409C-BE32-E72D297353CC}">
                  <c16:uniqueId val="{00000016-2A22-49CF-A307-162310A05DD4}"/>
                </c:ext>
              </c:extLst>
            </c:dLbl>
            <c:dLbl>
              <c:idx val="11"/>
              <c:delete val="1"/>
              <c:extLst>
                <c:ext xmlns:c15="http://schemas.microsoft.com/office/drawing/2012/chart" uri="{CE6537A1-D6FC-4f65-9D91-7224C49458BB}"/>
                <c:ext xmlns:c16="http://schemas.microsoft.com/office/drawing/2014/chart" uri="{C3380CC4-5D6E-409C-BE32-E72D297353CC}">
                  <c16:uniqueId val="{00000017-2A22-49CF-A307-162310A05DD4}"/>
                </c:ext>
              </c:extLst>
            </c:dLbl>
            <c:dLbl>
              <c:idx val="12"/>
              <c:delete val="1"/>
              <c:extLst>
                <c:ext xmlns:c15="http://schemas.microsoft.com/office/drawing/2012/chart" uri="{CE6537A1-D6FC-4f65-9D91-7224C49458BB}"/>
                <c:ext xmlns:c16="http://schemas.microsoft.com/office/drawing/2014/chart" uri="{C3380CC4-5D6E-409C-BE32-E72D297353CC}">
                  <c16:uniqueId val="{00000018-2A22-49CF-A307-162310A05DD4}"/>
                </c:ext>
              </c:extLst>
            </c:dLbl>
            <c:dLbl>
              <c:idx val="13"/>
              <c:delete val="1"/>
              <c:extLst>
                <c:ext xmlns:c15="http://schemas.microsoft.com/office/drawing/2012/chart" uri="{CE6537A1-D6FC-4f65-9D91-7224C49458BB}"/>
                <c:ext xmlns:c16="http://schemas.microsoft.com/office/drawing/2014/chart" uri="{C3380CC4-5D6E-409C-BE32-E72D297353CC}">
                  <c16:uniqueId val="{00000019-2A22-49CF-A307-162310A05DD4}"/>
                </c:ext>
              </c:extLst>
            </c:dLbl>
            <c:dLbl>
              <c:idx val="14"/>
              <c:delete val="1"/>
              <c:extLst>
                <c:ext xmlns:c15="http://schemas.microsoft.com/office/drawing/2012/chart" uri="{CE6537A1-D6FC-4f65-9D91-7224C49458BB}"/>
                <c:ext xmlns:c16="http://schemas.microsoft.com/office/drawing/2014/chart" uri="{C3380CC4-5D6E-409C-BE32-E72D297353CC}">
                  <c16:uniqueId val="{0000001A-2A22-49CF-A307-162310A05DD4}"/>
                </c:ext>
              </c:extLst>
            </c:dLbl>
            <c:dLbl>
              <c:idx val="15"/>
              <c:delete val="1"/>
              <c:extLst>
                <c:ext xmlns:c15="http://schemas.microsoft.com/office/drawing/2012/chart" uri="{CE6537A1-D6FC-4f65-9D91-7224C49458BB}"/>
                <c:ext xmlns:c16="http://schemas.microsoft.com/office/drawing/2014/chart" uri="{C3380CC4-5D6E-409C-BE32-E72D297353CC}">
                  <c16:uniqueId val="{0000001B-2A22-49CF-A307-162310A05DD4}"/>
                </c:ext>
              </c:extLst>
            </c:dLbl>
            <c:dLbl>
              <c:idx val="16"/>
              <c:delete val="1"/>
              <c:extLst>
                <c:ext xmlns:c15="http://schemas.microsoft.com/office/drawing/2012/chart" uri="{CE6537A1-D6FC-4f65-9D91-7224C49458BB}"/>
                <c:ext xmlns:c16="http://schemas.microsoft.com/office/drawing/2014/chart" uri="{C3380CC4-5D6E-409C-BE32-E72D297353CC}">
                  <c16:uniqueId val="{0000001C-2A22-49CF-A307-162310A05DD4}"/>
                </c:ext>
              </c:extLst>
            </c:dLbl>
            <c:dLbl>
              <c:idx val="17"/>
              <c:delete val="1"/>
              <c:extLst>
                <c:ext xmlns:c15="http://schemas.microsoft.com/office/drawing/2012/chart" uri="{CE6537A1-D6FC-4f65-9D91-7224C49458BB}"/>
                <c:ext xmlns:c16="http://schemas.microsoft.com/office/drawing/2014/chart" uri="{C3380CC4-5D6E-409C-BE32-E72D297353CC}">
                  <c16:uniqueId val="{0000001D-2A22-49CF-A307-162310A05DD4}"/>
                </c:ext>
              </c:extLst>
            </c:dLbl>
            <c:dLbl>
              <c:idx val="18"/>
              <c:delete val="1"/>
              <c:extLst>
                <c:ext xmlns:c15="http://schemas.microsoft.com/office/drawing/2012/chart" uri="{CE6537A1-D6FC-4f65-9D91-7224C49458BB}"/>
                <c:ext xmlns:c16="http://schemas.microsoft.com/office/drawing/2014/chart" uri="{C3380CC4-5D6E-409C-BE32-E72D297353CC}">
                  <c16:uniqueId val="{0000001E-2A22-49CF-A307-162310A05DD4}"/>
                </c:ext>
              </c:extLst>
            </c:dLbl>
            <c:dLbl>
              <c:idx val="19"/>
              <c:delete val="1"/>
              <c:extLst>
                <c:ext xmlns:c15="http://schemas.microsoft.com/office/drawing/2012/chart" uri="{CE6537A1-D6FC-4f65-9D91-7224C49458BB}"/>
                <c:ext xmlns:c16="http://schemas.microsoft.com/office/drawing/2014/chart" uri="{C3380CC4-5D6E-409C-BE32-E72D297353CC}">
                  <c16:uniqueId val="{0000001F-2A22-49CF-A307-162310A05DD4}"/>
                </c:ext>
              </c:extLst>
            </c:dLbl>
            <c:dLbl>
              <c:idx val="20"/>
              <c:delete val="1"/>
              <c:extLst>
                <c:ext xmlns:c15="http://schemas.microsoft.com/office/drawing/2012/chart" uri="{CE6537A1-D6FC-4f65-9D91-7224C49458BB}"/>
                <c:ext xmlns:c16="http://schemas.microsoft.com/office/drawing/2014/chart" uri="{C3380CC4-5D6E-409C-BE32-E72D297353CC}">
                  <c16:uniqueId val="{00000020-2A22-49CF-A307-162310A05DD4}"/>
                </c:ext>
              </c:extLst>
            </c:dLbl>
            <c:dLbl>
              <c:idx val="21"/>
              <c:delete val="1"/>
              <c:extLst>
                <c:ext xmlns:c15="http://schemas.microsoft.com/office/drawing/2012/chart" uri="{CE6537A1-D6FC-4f65-9D91-7224C49458BB}"/>
                <c:ext xmlns:c16="http://schemas.microsoft.com/office/drawing/2014/chart" uri="{C3380CC4-5D6E-409C-BE32-E72D297353CC}">
                  <c16:uniqueId val="{00000021-2A22-49CF-A307-162310A05DD4}"/>
                </c:ext>
              </c:extLst>
            </c:dLbl>
            <c:dLbl>
              <c:idx val="22"/>
              <c:delete val="1"/>
              <c:extLst>
                <c:ext xmlns:c15="http://schemas.microsoft.com/office/drawing/2012/chart" uri="{CE6537A1-D6FC-4f65-9D91-7224C49458BB}"/>
                <c:ext xmlns:c16="http://schemas.microsoft.com/office/drawing/2014/chart" uri="{C3380CC4-5D6E-409C-BE32-E72D297353CC}">
                  <c16:uniqueId val="{00000022-2A22-49CF-A307-162310A05DD4}"/>
                </c:ext>
              </c:extLst>
            </c:dLbl>
            <c:dLbl>
              <c:idx val="23"/>
              <c:delete val="1"/>
              <c:extLst>
                <c:ext xmlns:c15="http://schemas.microsoft.com/office/drawing/2012/chart" uri="{CE6537A1-D6FC-4f65-9D91-7224C49458BB}"/>
                <c:ext xmlns:c16="http://schemas.microsoft.com/office/drawing/2014/chart" uri="{C3380CC4-5D6E-409C-BE32-E72D297353CC}">
                  <c16:uniqueId val="{00000023-2A22-49CF-A307-162310A05DD4}"/>
                </c:ext>
              </c:extLst>
            </c:dLbl>
            <c:dLbl>
              <c:idx val="24"/>
              <c:delete val="1"/>
              <c:extLst>
                <c:ext xmlns:c15="http://schemas.microsoft.com/office/drawing/2012/chart" uri="{CE6537A1-D6FC-4f65-9D91-7224C49458BB}"/>
                <c:ext xmlns:c16="http://schemas.microsoft.com/office/drawing/2014/chart" uri="{C3380CC4-5D6E-409C-BE32-E72D297353CC}">
                  <c16:uniqueId val="{00000024-2A22-49CF-A307-162310A05DD4}"/>
                </c:ext>
              </c:extLst>
            </c:dLbl>
            <c:dLbl>
              <c:idx val="25"/>
              <c:delete val="1"/>
              <c:extLst>
                <c:ext xmlns:c15="http://schemas.microsoft.com/office/drawing/2012/chart" uri="{CE6537A1-D6FC-4f65-9D91-7224C49458BB}"/>
                <c:ext xmlns:c16="http://schemas.microsoft.com/office/drawing/2014/chart" uri="{C3380CC4-5D6E-409C-BE32-E72D297353CC}">
                  <c16:uniqueId val="{00000025-2A22-49CF-A307-162310A05DD4}"/>
                </c:ext>
              </c:extLst>
            </c:dLbl>
            <c:dLbl>
              <c:idx val="26"/>
              <c:delete val="1"/>
              <c:extLst>
                <c:ext xmlns:c15="http://schemas.microsoft.com/office/drawing/2012/chart" uri="{CE6537A1-D6FC-4f65-9D91-7224C49458BB}"/>
                <c:ext xmlns:c16="http://schemas.microsoft.com/office/drawing/2014/chart" uri="{C3380CC4-5D6E-409C-BE32-E72D297353CC}">
                  <c16:uniqueId val="{00000026-2A22-49CF-A307-162310A05DD4}"/>
                </c:ext>
              </c:extLst>
            </c:dLbl>
            <c:dLbl>
              <c:idx val="27"/>
              <c:delete val="1"/>
              <c:extLst>
                <c:ext xmlns:c15="http://schemas.microsoft.com/office/drawing/2012/chart" uri="{CE6537A1-D6FC-4f65-9D91-7224C49458BB}"/>
                <c:ext xmlns:c16="http://schemas.microsoft.com/office/drawing/2014/chart" uri="{C3380CC4-5D6E-409C-BE32-E72D297353CC}">
                  <c16:uniqueId val="{00000027-2A22-49CF-A307-162310A05DD4}"/>
                </c:ext>
              </c:extLst>
            </c:dLbl>
            <c:dLbl>
              <c:idx val="28"/>
              <c:delete val="1"/>
              <c:extLst>
                <c:ext xmlns:c15="http://schemas.microsoft.com/office/drawing/2012/chart" uri="{CE6537A1-D6FC-4f65-9D91-7224C49458BB}"/>
                <c:ext xmlns:c16="http://schemas.microsoft.com/office/drawing/2014/chart" uri="{C3380CC4-5D6E-409C-BE32-E72D297353CC}">
                  <c16:uniqueId val="{00000028-2A22-49CF-A307-162310A05DD4}"/>
                </c:ext>
              </c:extLst>
            </c:dLbl>
            <c:dLbl>
              <c:idx val="29"/>
              <c:delete val="1"/>
              <c:extLst>
                <c:ext xmlns:c15="http://schemas.microsoft.com/office/drawing/2012/chart" uri="{CE6537A1-D6FC-4f65-9D91-7224C49458BB}"/>
                <c:ext xmlns:c16="http://schemas.microsoft.com/office/drawing/2014/chart" uri="{C3380CC4-5D6E-409C-BE32-E72D297353CC}">
                  <c16:uniqueId val="{00000029-2A22-49CF-A307-162310A05DD4}"/>
                </c:ext>
              </c:extLst>
            </c:dLbl>
            <c:dLbl>
              <c:idx val="30"/>
              <c:delete val="1"/>
              <c:extLst>
                <c:ext xmlns:c15="http://schemas.microsoft.com/office/drawing/2012/chart" uri="{CE6537A1-D6FC-4f65-9D91-7224C49458BB}"/>
                <c:ext xmlns:c16="http://schemas.microsoft.com/office/drawing/2014/chart" uri="{C3380CC4-5D6E-409C-BE32-E72D297353CC}">
                  <c16:uniqueId val="{0000002A-2A22-49CF-A307-162310A05DD4}"/>
                </c:ext>
              </c:extLst>
            </c:dLbl>
            <c:dLbl>
              <c:idx val="31"/>
              <c:delete val="1"/>
              <c:extLst>
                <c:ext xmlns:c15="http://schemas.microsoft.com/office/drawing/2012/chart" uri="{CE6537A1-D6FC-4f65-9D91-7224C49458BB}"/>
                <c:ext xmlns:c16="http://schemas.microsoft.com/office/drawing/2014/chart" uri="{C3380CC4-5D6E-409C-BE32-E72D297353CC}">
                  <c16:uniqueId val="{0000002B-2A22-49CF-A307-162310A05DD4}"/>
                </c:ext>
              </c:extLst>
            </c:dLbl>
            <c:dLbl>
              <c:idx val="32"/>
              <c:delete val="1"/>
              <c:extLst>
                <c:ext xmlns:c15="http://schemas.microsoft.com/office/drawing/2012/chart" uri="{CE6537A1-D6FC-4f65-9D91-7224C49458BB}"/>
                <c:ext xmlns:c16="http://schemas.microsoft.com/office/drawing/2014/chart" uri="{C3380CC4-5D6E-409C-BE32-E72D297353CC}">
                  <c16:uniqueId val="{0000002C-2A22-49CF-A307-162310A05DD4}"/>
                </c:ext>
              </c:extLst>
            </c:dLbl>
            <c:dLbl>
              <c:idx val="33"/>
              <c:delete val="1"/>
              <c:extLst>
                <c:ext xmlns:c15="http://schemas.microsoft.com/office/drawing/2012/chart" uri="{CE6537A1-D6FC-4f65-9D91-7224C49458BB}"/>
                <c:ext xmlns:c16="http://schemas.microsoft.com/office/drawing/2014/chart" uri="{C3380CC4-5D6E-409C-BE32-E72D297353CC}">
                  <c16:uniqueId val="{0000002D-2A22-49CF-A307-162310A05DD4}"/>
                </c:ext>
              </c:extLst>
            </c:dLbl>
            <c:dLbl>
              <c:idx val="34"/>
              <c:delete val="1"/>
              <c:extLst>
                <c:ext xmlns:c15="http://schemas.microsoft.com/office/drawing/2012/chart" uri="{CE6537A1-D6FC-4f65-9D91-7224C49458BB}"/>
                <c:ext xmlns:c16="http://schemas.microsoft.com/office/drawing/2014/chart" uri="{C3380CC4-5D6E-409C-BE32-E72D297353CC}">
                  <c16:uniqueId val="{0000002E-2A22-49CF-A307-162310A05DD4}"/>
                </c:ext>
              </c:extLst>
            </c:dLbl>
            <c:dLbl>
              <c:idx val="35"/>
              <c:delete val="1"/>
              <c:extLst>
                <c:ext xmlns:c15="http://schemas.microsoft.com/office/drawing/2012/chart" uri="{CE6537A1-D6FC-4f65-9D91-7224C49458BB}"/>
                <c:ext xmlns:c16="http://schemas.microsoft.com/office/drawing/2014/chart" uri="{C3380CC4-5D6E-409C-BE32-E72D297353CC}">
                  <c16:uniqueId val="{0000002F-2A22-49CF-A307-162310A05DD4}"/>
                </c:ext>
              </c:extLst>
            </c:dLbl>
            <c:dLbl>
              <c:idx val="36"/>
              <c:delete val="1"/>
              <c:extLst>
                <c:ext xmlns:c15="http://schemas.microsoft.com/office/drawing/2012/chart" uri="{CE6537A1-D6FC-4f65-9D91-7224C49458BB}"/>
                <c:ext xmlns:c16="http://schemas.microsoft.com/office/drawing/2014/chart" uri="{C3380CC4-5D6E-409C-BE32-E72D297353CC}">
                  <c16:uniqueId val="{0000000D-CB8F-4A05-BD98-290D1B992969}"/>
                </c:ext>
              </c:extLst>
            </c:dLbl>
            <c:dLbl>
              <c:idx val="37"/>
              <c:delete val="1"/>
              <c:extLst>
                <c:ext xmlns:c15="http://schemas.microsoft.com/office/drawing/2012/chart" uri="{CE6537A1-D6FC-4f65-9D91-7224C49458BB}"/>
                <c:ext xmlns:c16="http://schemas.microsoft.com/office/drawing/2014/chart" uri="{C3380CC4-5D6E-409C-BE32-E72D297353CC}">
                  <c16:uniqueId val="{00000010-CB8F-4A05-BD98-290D1B992969}"/>
                </c:ext>
              </c:extLst>
            </c:dLbl>
            <c:dLbl>
              <c:idx val="38"/>
              <c:delete val="1"/>
              <c:extLst>
                <c:ext xmlns:c15="http://schemas.microsoft.com/office/drawing/2012/chart" uri="{CE6537A1-D6FC-4f65-9D91-7224C49458BB}"/>
                <c:ext xmlns:c16="http://schemas.microsoft.com/office/drawing/2014/chart" uri="{C3380CC4-5D6E-409C-BE32-E72D297353CC}">
                  <c16:uniqueId val="{0000000C-CB8F-4A05-BD98-290D1B992969}"/>
                </c:ext>
              </c:extLst>
            </c:dLbl>
            <c:dLbl>
              <c:idx val="39"/>
              <c:delete val="1"/>
              <c:extLst>
                <c:ext xmlns:c15="http://schemas.microsoft.com/office/drawing/2012/chart" uri="{CE6537A1-D6FC-4f65-9D91-7224C49458BB}"/>
                <c:ext xmlns:c16="http://schemas.microsoft.com/office/drawing/2014/chart" uri="{C3380CC4-5D6E-409C-BE32-E72D297353CC}">
                  <c16:uniqueId val="{0000000B-CB8F-4A05-BD98-290D1B992969}"/>
                </c:ext>
              </c:extLst>
            </c:dLbl>
            <c:dLbl>
              <c:idx val="40"/>
              <c:delete val="1"/>
              <c:extLst>
                <c:ext xmlns:c15="http://schemas.microsoft.com/office/drawing/2012/chart" uri="{CE6537A1-D6FC-4f65-9D91-7224C49458BB}"/>
                <c:ext xmlns:c16="http://schemas.microsoft.com/office/drawing/2014/chart" uri="{C3380CC4-5D6E-409C-BE32-E72D297353CC}">
                  <c16:uniqueId val="{0000000A-CB8F-4A05-BD98-290D1B992969}"/>
                </c:ext>
              </c:extLst>
            </c:dLbl>
            <c:dLbl>
              <c:idx val="41"/>
              <c:delete val="1"/>
              <c:extLst>
                <c:ext xmlns:c15="http://schemas.microsoft.com/office/drawing/2012/chart" uri="{CE6537A1-D6FC-4f65-9D91-7224C49458BB}"/>
                <c:ext xmlns:c16="http://schemas.microsoft.com/office/drawing/2014/chart" uri="{C3380CC4-5D6E-409C-BE32-E72D297353CC}">
                  <c16:uniqueId val="{00000002-097D-47C3-AB30-DA6A4D3A1961}"/>
                </c:ext>
              </c:extLst>
            </c:dLbl>
            <c:dLbl>
              <c:idx val="42"/>
              <c:delete val="1"/>
              <c:extLst>
                <c:ext xmlns:c15="http://schemas.microsoft.com/office/drawing/2012/chart" uri="{CE6537A1-D6FC-4f65-9D91-7224C49458BB}"/>
                <c:ext xmlns:c16="http://schemas.microsoft.com/office/drawing/2014/chart" uri="{C3380CC4-5D6E-409C-BE32-E72D297353CC}">
                  <c16:uniqueId val="{00000008-CB8F-4A05-BD98-290D1B992969}"/>
                </c:ext>
              </c:extLst>
            </c:dLbl>
            <c:dLbl>
              <c:idx val="43"/>
              <c:delete val="1"/>
              <c:extLst>
                <c:ext xmlns:c15="http://schemas.microsoft.com/office/drawing/2012/chart" uri="{CE6537A1-D6FC-4f65-9D91-7224C49458BB}"/>
                <c:ext xmlns:c16="http://schemas.microsoft.com/office/drawing/2014/chart" uri="{C3380CC4-5D6E-409C-BE32-E72D297353CC}">
                  <c16:uniqueId val="{00000009-CB8F-4A05-BD98-290D1B992969}"/>
                </c:ext>
              </c:extLst>
            </c:dLbl>
            <c:dLbl>
              <c:idx val="44"/>
              <c:delete val="1"/>
              <c:extLst>
                <c:ext xmlns:c15="http://schemas.microsoft.com/office/drawing/2012/chart" uri="{CE6537A1-D6FC-4f65-9D91-7224C49458BB}"/>
                <c:ext xmlns:c16="http://schemas.microsoft.com/office/drawing/2014/chart" uri="{C3380CC4-5D6E-409C-BE32-E72D297353CC}">
                  <c16:uniqueId val="{00000005-CB8F-4A05-BD98-290D1B992969}"/>
                </c:ext>
              </c:extLst>
            </c:dLbl>
            <c:dLbl>
              <c:idx val="45"/>
              <c:delete val="1"/>
              <c:extLst>
                <c:ext xmlns:c15="http://schemas.microsoft.com/office/drawing/2012/chart" uri="{CE6537A1-D6FC-4f65-9D91-7224C49458BB}"/>
                <c:ext xmlns:c16="http://schemas.microsoft.com/office/drawing/2014/chart" uri="{C3380CC4-5D6E-409C-BE32-E72D297353CC}">
                  <c16:uniqueId val="{00000006-CB8F-4A05-BD98-290D1B992969}"/>
                </c:ext>
              </c:extLst>
            </c:dLbl>
            <c:dLbl>
              <c:idx val="46"/>
              <c:delete val="1"/>
              <c:extLst>
                <c:ext xmlns:c15="http://schemas.microsoft.com/office/drawing/2012/chart" uri="{CE6537A1-D6FC-4f65-9D91-7224C49458BB}"/>
                <c:ext xmlns:c16="http://schemas.microsoft.com/office/drawing/2014/chart" uri="{C3380CC4-5D6E-409C-BE32-E72D297353CC}">
                  <c16:uniqueId val="{00000007-CB8F-4A05-BD98-290D1B992969}"/>
                </c:ext>
              </c:extLst>
            </c:dLbl>
            <c:dLbl>
              <c:idx val="47"/>
              <c:delete val="1"/>
              <c:extLst>
                <c:ext xmlns:c15="http://schemas.microsoft.com/office/drawing/2012/chart" uri="{CE6537A1-D6FC-4f65-9D91-7224C49458BB}"/>
                <c:ext xmlns:c16="http://schemas.microsoft.com/office/drawing/2014/chart" uri="{C3380CC4-5D6E-409C-BE32-E72D297353CC}">
                  <c16:uniqueId val="{00000000-C80A-466F-B195-08CB3132F59B}"/>
                </c:ext>
              </c:extLst>
            </c:dLbl>
            <c:dLbl>
              <c:idx val="48"/>
              <c:delete val="1"/>
              <c:extLst>
                <c:ext xmlns:c15="http://schemas.microsoft.com/office/drawing/2012/chart" uri="{CE6537A1-D6FC-4f65-9D91-7224C49458BB}"/>
                <c:ext xmlns:c16="http://schemas.microsoft.com/office/drawing/2014/chart" uri="{C3380CC4-5D6E-409C-BE32-E72D297353CC}">
                  <c16:uniqueId val="{00000003-CB8F-4A05-BD98-290D1B992969}"/>
                </c:ext>
              </c:extLst>
            </c:dLbl>
            <c:dLbl>
              <c:idx val="49"/>
              <c:delete val="1"/>
              <c:extLst>
                <c:ext xmlns:c15="http://schemas.microsoft.com/office/drawing/2012/chart" uri="{CE6537A1-D6FC-4f65-9D91-7224C49458BB}"/>
                <c:ext xmlns:c16="http://schemas.microsoft.com/office/drawing/2014/chart" uri="{C3380CC4-5D6E-409C-BE32-E72D297353CC}">
                  <c16:uniqueId val="{00000004-CB8F-4A05-BD98-290D1B992969}"/>
                </c:ext>
              </c:extLst>
            </c:dLbl>
            <c:dLbl>
              <c:idx val="50"/>
              <c:delete val="1"/>
              <c:extLst>
                <c:ext xmlns:c15="http://schemas.microsoft.com/office/drawing/2012/chart" uri="{CE6537A1-D6FC-4f65-9D91-7224C49458BB}"/>
                <c:ext xmlns:c16="http://schemas.microsoft.com/office/drawing/2014/chart" uri="{C3380CC4-5D6E-409C-BE32-E72D297353CC}">
                  <c16:uniqueId val="{00000001-B8F6-44E6-9C77-3078243CF317}"/>
                </c:ext>
              </c:extLst>
            </c:dLbl>
            <c:dLbl>
              <c:idx val="51"/>
              <c:delete val="1"/>
              <c:extLst>
                <c:ext xmlns:c15="http://schemas.microsoft.com/office/drawing/2012/chart" uri="{CE6537A1-D6FC-4f65-9D91-7224C49458BB}"/>
                <c:ext xmlns:c16="http://schemas.microsoft.com/office/drawing/2014/chart" uri="{C3380CC4-5D6E-409C-BE32-E72D297353CC}">
                  <c16:uniqueId val="{00000002-CB8F-4A05-BD98-290D1B992969}"/>
                </c:ext>
              </c:extLst>
            </c:dLbl>
            <c:dLbl>
              <c:idx val="52"/>
              <c:delete val="1"/>
              <c:extLst>
                <c:ext xmlns:c15="http://schemas.microsoft.com/office/drawing/2012/chart" uri="{CE6537A1-D6FC-4f65-9D91-7224C49458BB}"/>
                <c:ext xmlns:c16="http://schemas.microsoft.com/office/drawing/2014/chart" uri="{C3380CC4-5D6E-409C-BE32-E72D297353CC}">
                  <c16:uniqueId val="{00000001-CB8F-4A05-BD98-290D1B992969}"/>
                </c:ext>
              </c:extLst>
            </c:dLbl>
            <c:dLbl>
              <c:idx val="53"/>
              <c:delete val="1"/>
              <c:extLst>
                <c:ext xmlns:c15="http://schemas.microsoft.com/office/drawing/2012/chart" uri="{CE6537A1-D6FC-4f65-9D91-7224C49458BB}"/>
                <c:ext xmlns:c16="http://schemas.microsoft.com/office/drawing/2014/chart" uri="{C3380CC4-5D6E-409C-BE32-E72D297353CC}">
                  <c16:uniqueId val="{00000000-CB8F-4A05-BD98-290D1B992969}"/>
                </c:ext>
              </c:extLst>
            </c:dLbl>
            <c:dLbl>
              <c:idx val="54"/>
              <c:delete val="1"/>
              <c:extLst>
                <c:ext xmlns:c15="http://schemas.microsoft.com/office/drawing/2012/chart" uri="{CE6537A1-D6FC-4f65-9D91-7224C49458BB}"/>
                <c:ext xmlns:c16="http://schemas.microsoft.com/office/drawing/2014/chart" uri="{C3380CC4-5D6E-409C-BE32-E72D297353CC}">
                  <c16:uniqueId val="{00000005-890A-49B0-9B39-27C924FE6A1E}"/>
                </c:ext>
              </c:extLst>
            </c:dLbl>
            <c:dLbl>
              <c:idx val="55"/>
              <c:delete val="1"/>
              <c:extLst>
                <c:ext xmlns:c15="http://schemas.microsoft.com/office/drawing/2012/chart" uri="{CE6537A1-D6FC-4f65-9D91-7224C49458BB}"/>
                <c:ext xmlns:c16="http://schemas.microsoft.com/office/drawing/2014/chart" uri="{C3380CC4-5D6E-409C-BE32-E72D297353CC}">
                  <c16:uniqueId val="{00000004-890A-49B0-9B39-27C924FE6A1E}"/>
                </c:ext>
              </c:extLst>
            </c:dLbl>
            <c:dLbl>
              <c:idx val="56"/>
              <c:delete val="1"/>
              <c:extLst>
                <c:ext xmlns:c15="http://schemas.microsoft.com/office/drawing/2012/chart" uri="{CE6537A1-D6FC-4f65-9D91-7224C49458BB}"/>
                <c:ext xmlns:c16="http://schemas.microsoft.com/office/drawing/2014/chart" uri="{C3380CC4-5D6E-409C-BE32-E72D297353CC}">
                  <c16:uniqueId val="{00000003-890A-49B0-9B39-27C924FE6A1E}"/>
                </c:ext>
              </c:extLst>
            </c:dLbl>
            <c:dLbl>
              <c:idx val="57"/>
              <c:delete val="1"/>
              <c:extLst>
                <c:ext xmlns:c15="http://schemas.microsoft.com/office/drawing/2012/chart" uri="{CE6537A1-D6FC-4f65-9D91-7224C49458BB}"/>
                <c:ext xmlns:c16="http://schemas.microsoft.com/office/drawing/2014/chart" uri="{C3380CC4-5D6E-409C-BE32-E72D297353CC}">
                  <c16:uniqueId val="{00000000-14D6-4EDB-8F24-2A074AA64143}"/>
                </c:ext>
              </c:extLst>
            </c:dLbl>
            <c:dLbl>
              <c:idx val="58"/>
              <c:delete val="1"/>
              <c:extLst>
                <c:ext xmlns:c15="http://schemas.microsoft.com/office/drawing/2012/chart" uri="{CE6537A1-D6FC-4f65-9D91-7224C49458BB}"/>
                <c:ext xmlns:c16="http://schemas.microsoft.com/office/drawing/2014/chart" uri="{C3380CC4-5D6E-409C-BE32-E72D297353CC}">
                  <c16:uniqueId val="{00000002-14D6-4EDB-8F24-2A074AA64143}"/>
                </c:ext>
              </c:extLst>
            </c:dLbl>
            <c:dLbl>
              <c:idx val="59"/>
              <c:delete val="1"/>
              <c:extLst>
                <c:ext xmlns:c15="http://schemas.microsoft.com/office/drawing/2012/chart" uri="{CE6537A1-D6FC-4f65-9D91-7224C49458BB}"/>
                <c:ext xmlns:c16="http://schemas.microsoft.com/office/drawing/2014/chart" uri="{C3380CC4-5D6E-409C-BE32-E72D297353CC}">
                  <c16:uniqueId val="{00000001-14D6-4EDB-8F24-2A074AA64143}"/>
                </c:ext>
              </c:extLst>
            </c:dLbl>
            <c:dLbl>
              <c:idx val="60"/>
              <c:delete val="1"/>
              <c:extLst>
                <c:ext xmlns:c15="http://schemas.microsoft.com/office/drawing/2012/chart" uri="{CE6537A1-D6FC-4f65-9D91-7224C49458BB}"/>
                <c:ext xmlns:c16="http://schemas.microsoft.com/office/drawing/2014/chart" uri="{C3380CC4-5D6E-409C-BE32-E72D297353CC}">
                  <c16:uniqueId val="{00000004-0338-4BC9-A67D-CF284F2B7E8B}"/>
                </c:ext>
              </c:extLst>
            </c:dLbl>
            <c:dLbl>
              <c:idx val="61"/>
              <c:delete val="1"/>
              <c:extLst>
                <c:ext xmlns:c15="http://schemas.microsoft.com/office/drawing/2012/chart" uri="{CE6537A1-D6FC-4f65-9D91-7224C49458BB}"/>
                <c:ext xmlns:c16="http://schemas.microsoft.com/office/drawing/2014/chart" uri="{C3380CC4-5D6E-409C-BE32-E72D297353CC}">
                  <c16:uniqueId val="{00000003-0338-4BC9-A67D-CF284F2B7E8B}"/>
                </c:ext>
              </c:extLst>
            </c:dLbl>
            <c:dLbl>
              <c:idx val="62"/>
              <c:layout>
                <c:manualLayout>
                  <c:x val="-5.767350928641251E-2"/>
                  <c:y val="-3.09764309764309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338-4BC9-A67D-CF284F2B7E8B}"/>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Geomanist" panose="02000503000000020004"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extLst>
                <c:ext xmlns:c15="http://schemas.microsoft.com/office/drawing/2012/chart" uri="{02D57815-91ED-43cb-92C2-25804820EDAC}">
                  <c15:fullRef>
                    <c15:sqref>'2.2'!$A$113:$B$187</c15:sqref>
                  </c15:fullRef>
                </c:ext>
              </c:extLst>
              <c:f>'2.2'!$A$125:$B$187</c:f>
              <c:multiLvlStrCache>
                <c:ptCount val="63"/>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lvl>
                <c:lvl>
                  <c:pt idx="0">
                    <c:v>2021</c:v>
                  </c:pt>
                  <c:pt idx="12">
                    <c:v>2022</c:v>
                  </c:pt>
                  <c:pt idx="24">
                    <c:v>2023</c:v>
                  </c:pt>
                  <c:pt idx="36">
                    <c:v>2024</c:v>
                  </c:pt>
                  <c:pt idx="48">
                    <c:v>2025</c:v>
                  </c:pt>
                  <c:pt idx="60">
                    <c:v>2026</c:v>
                  </c:pt>
                </c:lvl>
              </c:multiLvlStrCache>
            </c:multiLvlStrRef>
          </c:cat>
          <c:val>
            <c:numRef>
              <c:extLst>
                <c:ext xmlns:c15="http://schemas.microsoft.com/office/drawing/2012/chart" uri="{02D57815-91ED-43cb-92C2-25804820EDAC}">
                  <c15:fullRef>
                    <c15:sqref>'2.1'!$C$113:$C$187</c15:sqref>
                  </c15:fullRef>
                </c:ext>
              </c:extLst>
              <c:f>'2.1'!$C$125:$C$187</c:f>
              <c:numCache>
                <c:formatCode>#,##0.00</c:formatCode>
                <c:ptCount val="63"/>
                <c:pt idx="0">
                  <c:v>17508.716880858883</c:v>
                </c:pt>
                <c:pt idx="1">
                  <c:v>17584.82102919502</c:v>
                </c:pt>
                <c:pt idx="2">
                  <c:v>18088.184082631979</c:v>
                </c:pt>
                <c:pt idx="3">
                  <c:v>18086.067944761031</c:v>
                </c:pt>
                <c:pt idx="4">
                  <c:v>18147.081543655804</c:v>
                </c:pt>
                <c:pt idx="5">
                  <c:v>18567.196090593381</c:v>
                </c:pt>
                <c:pt idx="6">
                  <c:v>18437.262946743449</c:v>
                </c:pt>
                <c:pt idx="7">
                  <c:v>18480.431125600247</c:v>
                </c:pt>
                <c:pt idx="8">
                  <c:v>19213.344900016909</c:v>
                </c:pt>
                <c:pt idx="9">
                  <c:v>18469.723329957345</c:v>
                </c:pt>
                <c:pt idx="10">
                  <c:v>18393.823442096676</c:v>
                </c:pt>
                <c:pt idx="11">
                  <c:v>19361.894222362065</c:v>
                </c:pt>
                <c:pt idx="12">
                  <c:v>19152.550549877986</c:v>
                </c:pt>
                <c:pt idx="13">
                  <c:v>18674.831919966004</c:v>
                </c:pt>
                <c:pt idx="14">
                  <c:v>19767.178142817182</c:v>
                </c:pt>
                <c:pt idx="15">
                  <c:v>19038.795637342504</c:v>
                </c:pt>
                <c:pt idx="16">
                  <c:v>19186.379762813587</c:v>
                </c:pt>
                <c:pt idx="17">
                  <c:v>20267.4058924534</c:v>
                </c:pt>
                <c:pt idx="18">
                  <c:v>20042.35961096234</c:v>
                </c:pt>
                <c:pt idx="19">
                  <c:v>19360.532887423251</c:v>
                </c:pt>
                <c:pt idx="20">
                  <c:v>20817.777692234995</c:v>
                </c:pt>
                <c:pt idx="21">
                  <c:v>19950.629488250099</c:v>
                </c:pt>
                <c:pt idx="22">
                  <c:v>19335.324762786204</c:v>
                </c:pt>
                <c:pt idx="23">
                  <c:v>20681.291078598257</c:v>
                </c:pt>
                <c:pt idx="24">
                  <c:v>20015.793300443089</c:v>
                </c:pt>
                <c:pt idx="25">
                  <c:v>19828.93433330351</c:v>
                </c:pt>
                <c:pt idx="26">
                  <c:v>20013.292257396544</c:v>
                </c:pt>
                <c:pt idx="27">
                  <c:v>19287.353458159327</c:v>
                </c:pt>
                <c:pt idx="28">
                  <c:v>19275.725292005121</c:v>
                </c:pt>
                <c:pt idx="29">
                  <c:v>19859.062660123796</c:v>
                </c:pt>
                <c:pt idx="30">
                  <c:v>19416.85469687506</c:v>
                </c:pt>
                <c:pt idx="31">
                  <c:v>19217.887772226481</c:v>
                </c:pt>
                <c:pt idx="32">
                  <c:v>19427.821642966232</c:v>
                </c:pt>
                <c:pt idx="33">
                  <c:v>19303.629804837223</c:v>
                </c:pt>
                <c:pt idx="34">
                  <c:v>19283.949172072142</c:v>
                </c:pt>
                <c:pt idx="35">
                  <c:v>19811.265941179663</c:v>
                </c:pt>
                <c:pt idx="36">
                  <c:v>19881.190450290436</c:v>
                </c:pt>
                <c:pt idx="37">
                  <c:v>19658.947189320748</c:v>
                </c:pt>
                <c:pt idx="38">
                  <c:v>20440.378158065741</c:v>
                </c:pt>
                <c:pt idx="39">
                  <c:v>19948.961486587275</c:v>
                </c:pt>
                <c:pt idx="40">
                  <c:v>19787.662404007489</c:v>
                </c:pt>
                <c:pt idx="41">
                  <c:v>20178.611807870151</c:v>
                </c:pt>
                <c:pt idx="42">
                  <c:v>19839.323088308323</c:v>
                </c:pt>
                <c:pt idx="43">
                  <c:v>19509.068891189396</c:v>
                </c:pt>
                <c:pt idx="44">
                  <c:v>20044.049943463808</c:v>
                </c:pt>
                <c:pt idx="45">
                  <c:v>20130.137457382796</c:v>
                </c:pt>
                <c:pt idx="46">
                  <c:v>19762.659947462485</c:v>
                </c:pt>
                <c:pt idx="47">
                  <c:v>20874.182723876726</c:v>
                </c:pt>
                <c:pt idx="48">
                  <c:v>20140.944083589584</c:v>
                </c:pt>
                <c:pt idx="49">
                  <c:v>20494.961677041782</c:v>
                </c:pt>
                <c:pt idx="50">
                  <c:v>20819.683481188782</c:v>
                </c:pt>
                <c:pt idx="51">
                  <c:v>20472.938382900942</c:v>
                </c:pt>
                <c:pt idx="52">
                  <c:v>20080.79265804547</c:v>
                </c:pt>
                <c:pt idx="53">
                  <c:v>20264.91310847229</c:v>
                </c:pt>
                <c:pt idx="54">
                  <c:v>20373.213601080977</c:v>
                </c:pt>
                <c:pt idx="55">
                  <c:v>20848.031791152654</c:v>
                </c:pt>
                <c:pt idx="56">
                  <c:v>21151.025182408663</c:v>
                </c:pt>
                <c:pt idx="57">
                  <c:v>20919.898620081716</c:v>
                </c:pt>
                <c:pt idx="58">
                  <c:v>21181.728559453964</c:v>
                </c:pt>
                <c:pt idx="59">
                  <c:v>21318.083199412107</c:v>
                </c:pt>
                <c:pt idx="60">
                  <c:v>21567.974188633547</c:v>
                </c:pt>
                <c:pt idx="61">
                  <c:v>21253.215108122371</c:v>
                </c:pt>
                <c:pt idx="62">
                  <c:v>21024.118071214205</c:v>
                </c:pt>
              </c:numCache>
            </c:numRef>
          </c:val>
          <c:extLst>
            <c:ext xmlns:c15="http://schemas.microsoft.com/office/drawing/2012/chart" uri="{02D57815-91ED-43cb-92C2-25804820EDAC}">
              <c15:categoryFilterExceptions>
                <c15:categoryFilterException>
                  <c15:sqref>'2.1'!$C$113</c15:sqref>
                  <c15:dLbl>
                    <c:idx val="-1"/>
                    <c:delete val="1"/>
                    <c:extLst>
                      <c:ext uri="{CE6537A1-D6FC-4f65-9D91-7224C49458BB}"/>
                      <c:ext xmlns:c16="http://schemas.microsoft.com/office/drawing/2014/chart" uri="{C3380CC4-5D6E-409C-BE32-E72D297353CC}">
                        <c16:uniqueId val="{00000000-8E8E-44FD-925F-719B39D18183}"/>
                      </c:ext>
                    </c:extLst>
                  </c15:dLbl>
                </c15:categoryFilterException>
                <c15:categoryFilterException>
                  <c15:sqref>'2.1'!$C$114</c15:sqref>
                  <c15:dLbl>
                    <c:idx val="-1"/>
                    <c:delete val="1"/>
                    <c:extLst>
                      <c:ext uri="{CE6537A1-D6FC-4f65-9D91-7224C49458BB}"/>
                      <c:ext xmlns:c16="http://schemas.microsoft.com/office/drawing/2014/chart" uri="{C3380CC4-5D6E-409C-BE32-E72D297353CC}">
                        <c16:uniqueId val="{00000001-8E8E-44FD-925F-719B39D18183}"/>
                      </c:ext>
                    </c:extLst>
                  </c15:dLbl>
                </c15:categoryFilterException>
                <c15:categoryFilterException>
                  <c15:sqref>'2.1'!$C$115</c15:sqref>
                  <c15:dLbl>
                    <c:idx val="-1"/>
                    <c:delete val="1"/>
                    <c:extLst>
                      <c:ext uri="{CE6537A1-D6FC-4f65-9D91-7224C49458BB}"/>
                      <c:ext xmlns:c16="http://schemas.microsoft.com/office/drawing/2014/chart" uri="{C3380CC4-5D6E-409C-BE32-E72D297353CC}">
                        <c16:uniqueId val="{00000002-8E8E-44FD-925F-719B39D18183}"/>
                      </c:ext>
                    </c:extLst>
                  </c15:dLbl>
                </c15:categoryFilterException>
                <c15:categoryFilterException>
                  <c15:sqref>'2.1'!$C$116</c15:sqref>
                  <c15:dLbl>
                    <c:idx val="-1"/>
                    <c:delete val="1"/>
                    <c:extLst>
                      <c:ext uri="{CE6537A1-D6FC-4f65-9D91-7224C49458BB}"/>
                      <c:ext xmlns:c16="http://schemas.microsoft.com/office/drawing/2014/chart" uri="{C3380CC4-5D6E-409C-BE32-E72D297353CC}">
                        <c16:uniqueId val="{00000003-8E8E-44FD-925F-719B39D18183}"/>
                      </c:ext>
                    </c:extLst>
                  </c15:dLbl>
                </c15:categoryFilterException>
                <c15:categoryFilterException>
                  <c15:sqref>'2.1'!$C$117</c15:sqref>
                  <c15:dLbl>
                    <c:idx val="-1"/>
                    <c:delete val="1"/>
                    <c:extLst>
                      <c:ext uri="{CE6537A1-D6FC-4f65-9D91-7224C49458BB}"/>
                      <c:ext xmlns:c16="http://schemas.microsoft.com/office/drawing/2014/chart" uri="{C3380CC4-5D6E-409C-BE32-E72D297353CC}">
                        <c16:uniqueId val="{00000004-8E8E-44FD-925F-719B39D18183}"/>
                      </c:ext>
                    </c:extLst>
                  </c15:dLbl>
                </c15:categoryFilterException>
                <c15:categoryFilterException>
                  <c15:sqref>'2.1'!$C$118</c15:sqref>
                  <c15:dLbl>
                    <c:idx val="-1"/>
                    <c:delete val="1"/>
                    <c:extLst>
                      <c:ext uri="{CE6537A1-D6FC-4f65-9D91-7224C49458BB}"/>
                      <c:ext xmlns:c16="http://schemas.microsoft.com/office/drawing/2014/chart" uri="{C3380CC4-5D6E-409C-BE32-E72D297353CC}">
                        <c16:uniqueId val="{00000005-8E8E-44FD-925F-719B39D18183}"/>
                      </c:ext>
                    </c:extLst>
                  </c15:dLbl>
                </c15:categoryFilterException>
                <c15:categoryFilterException>
                  <c15:sqref>'2.1'!$C$119</c15:sqref>
                  <c15:dLbl>
                    <c:idx val="-1"/>
                    <c:delete val="1"/>
                    <c:extLst>
                      <c:ext uri="{CE6537A1-D6FC-4f65-9D91-7224C49458BB}"/>
                      <c:ext xmlns:c16="http://schemas.microsoft.com/office/drawing/2014/chart" uri="{C3380CC4-5D6E-409C-BE32-E72D297353CC}">
                        <c16:uniqueId val="{00000006-8E8E-44FD-925F-719B39D18183}"/>
                      </c:ext>
                    </c:extLst>
                  </c15:dLbl>
                </c15:categoryFilterException>
                <c15:categoryFilterException>
                  <c15:sqref>'2.1'!$C$120</c15:sqref>
                  <c15:dLbl>
                    <c:idx val="-1"/>
                    <c:delete val="1"/>
                    <c:extLst>
                      <c:ext uri="{CE6537A1-D6FC-4f65-9D91-7224C49458BB}"/>
                      <c:ext xmlns:c16="http://schemas.microsoft.com/office/drawing/2014/chart" uri="{C3380CC4-5D6E-409C-BE32-E72D297353CC}">
                        <c16:uniqueId val="{00000007-8E8E-44FD-925F-719B39D18183}"/>
                      </c:ext>
                    </c:extLst>
                  </c15:dLbl>
                </c15:categoryFilterException>
                <c15:categoryFilterException>
                  <c15:sqref>'2.1'!$C$121</c15:sqref>
                  <c15:dLbl>
                    <c:idx val="-1"/>
                    <c:delete val="1"/>
                    <c:extLst>
                      <c:ext uri="{CE6537A1-D6FC-4f65-9D91-7224C49458BB}"/>
                      <c:ext xmlns:c16="http://schemas.microsoft.com/office/drawing/2014/chart" uri="{C3380CC4-5D6E-409C-BE32-E72D297353CC}">
                        <c16:uniqueId val="{00000008-8E8E-44FD-925F-719B39D18183}"/>
                      </c:ext>
                    </c:extLst>
                  </c15:dLbl>
                </c15:categoryFilterException>
                <c15:categoryFilterException>
                  <c15:sqref>'2.1'!$C$122</c15:sqref>
                  <c15:dLbl>
                    <c:idx val="-1"/>
                    <c:delete val="1"/>
                    <c:extLst>
                      <c:ext uri="{CE6537A1-D6FC-4f65-9D91-7224C49458BB}"/>
                      <c:ext xmlns:c16="http://schemas.microsoft.com/office/drawing/2014/chart" uri="{C3380CC4-5D6E-409C-BE32-E72D297353CC}">
                        <c16:uniqueId val="{00000009-8E8E-44FD-925F-719B39D18183}"/>
                      </c:ext>
                    </c:extLst>
                  </c15:dLbl>
                </c15:categoryFilterException>
                <c15:categoryFilterException>
                  <c15:sqref>'2.1'!$C$123</c15:sqref>
                  <c15:dLbl>
                    <c:idx val="-1"/>
                    <c:delete val="1"/>
                    <c:extLst>
                      <c:ext uri="{CE6537A1-D6FC-4f65-9D91-7224C49458BB}"/>
                      <c:ext xmlns:c16="http://schemas.microsoft.com/office/drawing/2014/chart" uri="{C3380CC4-5D6E-409C-BE32-E72D297353CC}">
                        <c16:uniqueId val="{0000000A-8E8E-44FD-925F-719B39D18183}"/>
                      </c:ext>
                    </c:extLst>
                  </c15:dLbl>
                </c15:categoryFilterException>
                <c15:categoryFilterException>
                  <c15:sqref>'2.1'!$C$124</c15:sqref>
                  <c15:dLbl>
                    <c:idx val="-1"/>
                    <c:delete val="1"/>
                    <c:extLst>
                      <c:ext uri="{CE6537A1-D6FC-4f65-9D91-7224C49458BB}"/>
                      <c:ext xmlns:c16="http://schemas.microsoft.com/office/drawing/2014/chart" uri="{C3380CC4-5D6E-409C-BE32-E72D297353CC}">
                        <c16:uniqueId val="{0000000B-8E8E-44FD-925F-719B39D18183}"/>
                      </c:ext>
                    </c:extLst>
                  </c15:dLbl>
                </c15:categoryFilterException>
              </c15:categoryFilterExceptions>
            </c:ext>
            <c:ext xmlns:c16="http://schemas.microsoft.com/office/drawing/2014/chart" uri="{C3380CC4-5D6E-409C-BE32-E72D297353CC}">
              <c16:uniqueId val="{00000001-E1BE-4E8F-989E-259EB230F4E5}"/>
            </c:ext>
          </c:extLst>
        </c:ser>
        <c:ser>
          <c:idx val="1"/>
          <c:order val="1"/>
          <c:tx>
            <c:v>Deposits</c:v>
          </c:tx>
          <c:spPr>
            <a:solidFill>
              <a:srgbClr val="D4C029"/>
            </a:solidFill>
            <a:ln>
              <a:solidFill>
                <a:srgbClr val="D4C029"/>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C-2A22-49CF-A307-162310A05DD4}"/>
                </c:ext>
              </c:extLst>
            </c:dLbl>
            <c:dLbl>
              <c:idx val="1"/>
              <c:delete val="1"/>
              <c:extLst>
                <c:ext xmlns:c15="http://schemas.microsoft.com/office/drawing/2012/chart" uri="{CE6537A1-D6FC-4f65-9D91-7224C49458BB}"/>
                <c:ext xmlns:c16="http://schemas.microsoft.com/office/drawing/2014/chart" uri="{C3380CC4-5D6E-409C-BE32-E72D297353CC}">
                  <c16:uniqueId val="{0000003D-2A22-49CF-A307-162310A05DD4}"/>
                </c:ext>
              </c:extLst>
            </c:dLbl>
            <c:dLbl>
              <c:idx val="2"/>
              <c:delete val="1"/>
              <c:extLst>
                <c:ext xmlns:c15="http://schemas.microsoft.com/office/drawing/2012/chart" uri="{CE6537A1-D6FC-4f65-9D91-7224C49458BB}"/>
                <c:ext xmlns:c16="http://schemas.microsoft.com/office/drawing/2014/chart" uri="{C3380CC4-5D6E-409C-BE32-E72D297353CC}">
                  <c16:uniqueId val="{0000003E-2A22-49CF-A307-162310A05DD4}"/>
                </c:ext>
              </c:extLst>
            </c:dLbl>
            <c:dLbl>
              <c:idx val="3"/>
              <c:delete val="1"/>
              <c:extLst>
                <c:ext xmlns:c15="http://schemas.microsoft.com/office/drawing/2012/chart" uri="{CE6537A1-D6FC-4f65-9D91-7224C49458BB}"/>
                <c:ext xmlns:c16="http://schemas.microsoft.com/office/drawing/2014/chart" uri="{C3380CC4-5D6E-409C-BE32-E72D297353CC}">
                  <c16:uniqueId val="{0000003F-2A22-49CF-A307-162310A05DD4}"/>
                </c:ext>
              </c:extLst>
            </c:dLbl>
            <c:dLbl>
              <c:idx val="4"/>
              <c:delete val="1"/>
              <c:extLst>
                <c:ext xmlns:c15="http://schemas.microsoft.com/office/drawing/2012/chart" uri="{CE6537A1-D6FC-4f65-9D91-7224C49458BB}"/>
                <c:ext xmlns:c16="http://schemas.microsoft.com/office/drawing/2014/chart" uri="{C3380CC4-5D6E-409C-BE32-E72D297353CC}">
                  <c16:uniqueId val="{00000040-2A22-49CF-A307-162310A05DD4}"/>
                </c:ext>
              </c:extLst>
            </c:dLbl>
            <c:dLbl>
              <c:idx val="5"/>
              <c:delete val="1"/>
              <c:extLst>
                <c:ext xmlns:c15="http://schemas.microsoft.com/office/drawing/2012/chart" uri="{CE6537A1-D6FC-4f65-9D91-7224C49458BB}"/>
                <c:ext xmlns:c16="http://schemas.microsoft.com/office/drawing/2014/chart" uri="{C3380CC4-5D6E-409C-BE32-E72D297353CC}">
                  <c16:uniqueId val="{00000041-2A22-49CF-A307-162310A05DD4}"/>
                </c:ext>
              </c:extLst>
            </c:dLbl>
            <c:dLbl>
              <c:idx val="6"/>
              <c:delete val="1"/>
              <c:extLst>
                <c:ext xmlns:c15="http://schemas.microsoft.com/office/drawing/2012/chart" uri="{CE6537A1-D6FC-4f65-9D91-7224C49458BB}"/>
                <c:ext xmlns:c16="http://schemas.microsoft.com/office/drawing/2014/chart" uri="{C3380CC4-5D6E-409C-BE32-E72D297353CC}">
                  <c16:uniqueId val="{00000042-2A22-49CF-A307-162310A05DD4}"/>
                </c:ext>
              </c:extLst>
            </c:dLbl>
            <c:dLbl>
              <c:idx val="7"/>
              <c:delete val="1"/>
              <c:extLst>
                <c:ext xmlns:c15="http://schemas.microsoft.com/office/drawing/2012/chart" uri="{CE6537A1-D6FC-4f65-9D91-7224C49458BB}"/>
                <c:ext xmlns:c16="http://schemas.microsoft.com/office/drawing/2014/chart" uri="{C3380CC4-5D6E-409C-BE32-E72D297353CC}">
                  <c16:uniqueId val="{00000043-2A22-49CF-A307-162310A05DD4}"/>
                </c:ext>
              </c:extLst>
            </c:dLbl>
            <c:dLbl>
              <c:idx val="8"/>
              <c:delete val="1"/>
              <c:extLst>
                <c:ext xmlns:c15="http://schemas.microsoft.com/office/drawing/2012/chart" uri="{CE6537A1-D6FC-4f65-9D91-7224C49458BB}"/>
                <c:ext xmlns:c16="http://schemas.microsoft.com/office/drawing/2014/chart" uri="{C3380CC4-5D6E-409C-BE32-E72D297353CC}">
                  <c16:uniqueId val="{00000044-2A22-49CF-A307-162310A05DD4}"/>
                </c:ext>
              </c:extLst>
            </c:dLbl>
            <c:dLbl>
              <c:idx val="9"/>
              <c:delete val="1"/>
              <c:extLst>
                <c:ext xmlns:c15="http://schemas.microsoft.com/office/drawing/2012/chart" uri="{CE6537A1-D6FC-4f65-9D91-7224C49458BB}"/>
                <c:ext xmlns:c16="http://schemas.microsoft.com/office/drawing/2014/chart" uri="{C3380CC4-5D6E-409C-BE32-E72D297353CC}">
                  <c16:uniqueId val="{00000045-2A22-49CF-A307-162310A05DD4}"/>
                </c:ext>
              </c:extLst>
            </c:dLbl>
            <c:dLbl>
              <c:idx val="10"/>
              <c:delete val="1"/>
              <c:extLst>
                <c:ext xmlns:c15="http://schemas.microsoft.com/office/drawing/2012/chart" uri="{CE6537A1-D6FC-4f65-9D91-7224C49458BB}"/>
                <c:ext xmlns:c16="http://schemas.microsoft.com/office/drawing/2014/chart" uri="{C3380CC4-5D6E-409C-BE32-E72D297353CC}">
                  <c16:uniqueId val="{00000046-2A22-49CF-A307-162310A05DD4}"/>
                </c:ext>
              </c:extLst>
            </c:dLbl>
            <c:dLbl>
              <c:idx val="11"/>
              <c:delete val="1"/>
              <c:extLst>
                <c:ext xmlns:c15="http://schemas.microsoft.com/office/drawing/2012/chart" uri="{CE6537A1-D6FC-4f65-9D91-7224C49458BB}"/>
                <c:ext xmlns:c16="http://schemas.microsoft.com/office/drawing/2014/chart" uri="{C3380CC4-5D6E-409C-BE32-E72D297353CC}">
                  <c16:uniqueId val="{00000047-2A22-49CF-A307-162310A05DD4}"/>
                </c:ext>
              </c:extLst>
            </c:dLbl>
            <c:dLbl>
              <c:idx val="12"/>
              <c:delete val="1"/>
              <c:extLst>
                <c:ext xmlns:c15="http://schemas.microsoft.com/office/drawing/2012/chart" uri="{CE6537A1-D6FC-4f65-9D91-7224C49458BB}"/>
                <c:ext xmlns:c16="http://schemas.microsoft.com/office/drawing/2014/chart" uri="{C3380CC4-5D6E-409C-BE32-E72D297353CC}">
                  <c16:uniqueId val="{00000048-2A22-49CF-A307-162310A05DD4}"/>
                </c:ext>
              </c:extLst>
            </c:dLbl>
            <c:dLbl>
              <c:idx val="13"/>
              <c:delete val="1"/>
              <c:extLst>
                <c:ext xmlns:c15="http://schemas.microsoft.com/office/drawing/2012/chart" uri="{CE6537A1-D6FC-4f65-9D91-7224C49458BB}"/>
                <c:ext xmlns:c16="http://schemas.microsoft.com/office/drawing/2014/chart" uri="{C3380CC4-5D6E-409C-BE32-E72D297353CC}">
                  <c16:uniqueId val="{00000049-2A22-49CF-A307-162310A05DD4}"/>
                </c:ext>
              </c:extLst>
            </c:dLbl>
            <c:dLbl>
              <c:idx val="14"/>
              <c:delete val="1"/>
              <c:extLst>
                <c:ext xmlns:c15="http://schemas.microsoft.com/office/drawing/2012/chart" uri="{CE6537A1-D6FC-4f65-9D91-7224C49458BB}"/>
                <c:ext xmlns:c16="http://schemas.microsoft.com/office/drawing/2014/chart" uri="{C3380CC4-5D6E-409C-BE32-E72D297353CC}">
                  <c16:uniqueId val="{0000004A-2A22-49CF-A307-162310A05DD4}"/>
                </c:ext>
              </c:extLst>
            </c:dLbl>
            <c:dLbl>
              <c:idx val="15"/>
              <c:delete val="1"/>
              <c:extLst>
                <c:ext xmlns:c15="http://schemas.microsoft.com/office/drawing/2012/chart" uri="{CE6537A1-D6FC-4f65-9D91-7224C49458BB}"/>
                <c:ext xmlns:c16="http://schemas.microsoft.com/office/drawing/2014/chart" uri="{C3380CC4-5D6E-409C-BE32-E72D297353CC}">
                  <c16:uniqueId val="{0000004B-2A22-49CF-A307-162310A05DD4}"/>
                </c:ext>
              </c:extLst>
            </c:dLbl>
            <c:dLbl>
              <c:idx val="16"/>
              <c:delete val="1"/>
              <c:extLst>
                <c:ext xmlns:c15="http://schemas.microsoft.com/office/drawing/2012/chart" uri="{CE6537A1-D6FC-4f65-9D91-7224C49458BB}"/>
                <c:ext xmlns:c16="http://schemas.microsoft.com/office/drawing/2014/chart" uri="{C3380CC4-5D6E-409C-BE32-E72D297353CC}">
                  <c16:uniqueId val="{0000004C-2A22-49CF-A307-162310A05DD4}"/>
                </c:ext>
              </c:extLst>
            </c:dLbl>
            <c:dLbl>
              <c:idx val="17"/>
              <c:delete val="1"/>
              <c:extLst>
                <c:ext xmlns:c15="http://schemas.microsoft.com/office/drawing/2012/chart" uri="{CE6537A1-D6FC-4f65-9D91-7224C49458BB}"/>
                <c:ext xmlns:c16="http://schemas.microsoft.com/office/drawing/2014/chart" uri="{C3380CC4-5D6E-409C-BE32-E72D297353CC}">
                  <c16:uniqueId val="{0000004D-2A22-49CF-A307-162310A05DD4}"/>
                </c:ext>
              </c:extLst>
            </c:dLbl>
            <c:dLbl>
              <c:idx val="18"/>
              <c:delete val="1"/>
              <c:extLst>
                <c:ext xmlns:c15="http://schemas.microsoft.com/office/drawing/2012/chart" uri="{CE6537A1-D6FC-4f65-9D91-7224C49458BB}"/>
                <c:ext xmlns:c16="http://schemas.microsoft.com/office/drawing/2014/chart" uri="{C3380CC4-5D6E-409C-BE32-E72D297353CC}">
                  <c16:uniqueId val="{0000004E-2A22-49CF-A307-162310A05DD4}"/>
                </c:ext>
              </c:extLst>
            </c:dLbl>
            <c:dLbl>
              <c:idx val="19"/>
              <c:delete val="1"/>
              <c:extLst>
                <c:ext xmlns:c15="http://schemas.microsoft.com/office/drawing/2012/chart" uri="{CE6537A1-D6FC-4f65-9D91-7224C49458BB}"/>
                <c:ext xmlns:c16="http://schemas.microsoft.com/office/drawing/2014/chart" uri="{C3380CC4-5D6E-409C-BE32-E72D297353CC}">
                  <c16:uniqueId val="{0000004F-2A22-49CF-A307-162310A05DD4}"/>
                </c:ext>
              </c:extLst>
            </c:dLbl>
            <c:dLbl>
              <c:idx val="20"/>
              <c:delete val="1"/>
              <c:extLst>
                <c:ext xmlns:c15="http://schemas.microsoft.com/office/drawing/2012/chart" uri="{CE6537A1-D6FC-4f65-9D91-7224C49458BB}"/>
                <c:ext xmlns:c16="http://schemas.microsoft.com/office/drawing/2014/chart" uri="{C3380CC4-5D6E-409C-BE32-E72D297353CC}">
                  <c16:uniqueId val="{00000050-2A22-49CF-A307-162310A05DD4}"/>
                </c:ext>
              </c:extLst>
            </c:dLbl>
            <c:dLbl>
              <c:idx val="21"/>
              <c:delete val="1"/>
              <c:extLst>
                <c:ext xmlns:c15="http://schemas.microsoft.com/office/drawing/2012/chart" uri="{CE6537A1-D6FC-4f65-9D91-7224C49458BB}"/>
                <c:ext xmlns:c16="http://schemas.microsoft.com/office/drawing/2014/chart" uri="{C3380CC4-5D6E-409C-BE32-E72D297353CC}">
                  <c16:uniqueId val="{00000051-2A22-49CF-A307-162310A05DD4}"/>
                </c:ext>
              </c:extLst>
            </c:dLbl>
            <c:dLbl>
              <c:idx val="22"/>
              <c:delete val="1"/>
              <c:extLst>
                <c:ext xmlns:c15="http://schemas.microsoft.com/office/drawing/2012/chart" uri="{CE6537A1-D6FC-4f65-9D91-7224C49458BB}"/>
                <c:ext xmlns:c16="http://schemas.microsoft.com/office/drawing/2014/chart" uri="{C3380CC4-5D6E-409C-BE32-E72D297353CC}">
                  <c16:uniqueId val="{00000052-2A22-49CF-A307-162310A05DD4}"/>
                </c:ext>
              </c:extLst>
            </c:dLbl>
            <c:dLbl>
              <c:idx val="23"/>
              <c:delete val="1"/>
              <c:extLst>
                <c:ext xmlns:c15="http://schemas.microsoft.com/office/drawing/2012/chart" uri="{CE6537A1-D6FC-4f65-9D91-7224C49458BB}"/>
                <c:ext xmlns:c16="http://schemas.microsoft.com/office/drawing/2014/chart" uri="{C3380CC4-5D6E-409C-BE32-E72D297353CC}">
                  <c16:uniqueId val="{00000053-2A22-49CF-A307-162310A05DD4}"/>
                </c:ext>
              </c:extLst>
            </c:dLbl>
            <c:dLbl>
              <c:idx val="24"/>
              <c:delete val="1"/>
              <c:extLst>
                <c:ext xmlns:c15="http://schemas.microsoft.com/office/drawing/2012/chart" uri="{CE6537A1-D6FC-4f65-9D91-7224C49458BB}"/>
                <c:ext xmlns:c16="http://schemas.microsoft.com/office/drawing/2014/chart" uri="{C3380CC4-5D6E-409C-BE32-E72D297353CC}">
                  <c16:uniqueId val="{00000054-2A22-49CF-A307-162310A05DD4}"/>
                </c:ext>
              </c:extLst>
            </c:dLbl>
            <c:dLbl>
              <c:idx val="25"/>
              <c:delete val="1"/>
              <c:extLst>
                <c:ext xmlns:c15="http://schemas.microsoft.com/office/drawing/2012/chart" uri="{CE6537A1-D6FC-4f65-9D91-7224C49458BB}"/>
                <c:ext xmlns:c16="http://schemas.microsoft.com/office/drawing/2014/chart" uri="{C3380CC4-5D6E-409C-BE32-E72D297353CC}">
                  <c16:uniqueId val="{00000055-2A22-49CF-A307-162310A05DD4}"/>
                </c:ext>
              </c:extLst>
            </c:dLbl>
            <c:dLbl>
              <c:idx val="26"/>
              <c:delete val="1"/>
              <c:extLst>
                <c:ext xmlns:c15="http://schemas.microsoft.com/office/drawing/2012/chart" uri="{CE6537A1-D6FC-4f65-9D91-7224C49458BB}"/>
                <c:ext xmlns:c16="http://schemas.microsoft.com/office/drawing/2014/chart" uri="{C3380CC4-5D6E-409C-BE32-E72D297353CC}">
                  <c16:uniqueId val="{00000056-2A22-49CF-A307-162310A05DD4}"/>
                </c:ext>
              </c:extLst>
            </c:dLbl>
            <c:dLbl>
              <c:idx val="27"/>
              <c:delete val="1"/>
              <c:extLst>
                <c:ext xmlns:c15="http://schemas.microsoft.com/office/drawing/2012/chart" uri="{CE6537A1-D6FC-4f65-9D91-7224C49458BB}"/>
                <c:ext xmlns:c16="http://schemas.microsoft.com/office/drawing/2014/chart" uri="{C3380CC4-5D6E-409C-BE32-E72D297353CC}">
                  <c16:uniqueId val="{00000057-2A22-49CF-A307-162310A05DD4}"/>
                </c:ext>
              </c:extLst>
            </c:dLbl>
            <c:dLbl>
              <c:idx val="28"/>
              <c:delete val="1"/>
              <c:extLst>
                <c:ext xmlns:c15="http://schemas.microsoft.com/office/drawing/2012/chart" uri="{CE6537A1-D6FC-4f65-9D91-7224C49458BB}"/>
                <c:ext xmlns:c16="http://schemas.microsoft.com/office/drawing/2014/chart" uri="{C3380CC4-5D6E-409C-BE32-E72D297353CC}">
                  <c16:uniqueId val="{00000058-2A22-49CF-A307-162310A05DD4}"/>
                </c:ext>
              </c:extLst>
            </c:dLbl>
            <c:dLbl>
              <c:idx val="29"/>
              <c:delete val="1"/>
              <c:extLst>
                <c:ext xmlns:c15="http://schemas.microsoft.com/office/drawing/2012/chart" uri="{CE6537A1-D6FC-4f65-9D91-7224C49458BB}"/>
                <c:ext xmlns:c16="http://schemas.microsoft.com/office/drawing/2014/chart" uri="{C3380CC4-5D6E-409C-BE32-E72D297353CC}">
                  <c16:uniqueId val="{00000059-2A22-49CF-A307-162310A05DD4}"/>
                </c:ext>
              </c:extLst>
            </c:dLbl>
            <c:dLbl>
              <c:idx val="30"/>
              <c:delete val="1"/>
              <c:extLst>
                <c:ext xmlns:c15="http://schemas.microsoft.com/office/drawing/2012/chart" uri="{CE6537A1-D6FC-4f65-9D91-7224C49458BB}"/>
                <c:ext xmlns:c16="http://schemas.microsoft.com/office/drawing/2014/chart" uri="{C3380CC4-5D6E-409C-BE32-E72D297353CC}">
                  <c16:uniqueId val="{0000005A-2A22-49CF-A307-162310A05DD4}"/>
                </c:ext>
              </c:extLst>
            </c:dLbl>
            <c:dLbl>
              <c:idx val="31"/>
              <c:delete val="1"/>
              <c:extLst>
                <c:ext xmlns:c15="http://schemas.microsoft.com/office/drawing/2012/chart" uri="{CE6537A1-D6FC-4f65-9D91-7224C49458BB}"/>
                <c:ext xmlns:c16="http://schemas.microsoft.com/office/drawing/2014/chart" uri="{C3380CC4-5D6E-409C-BE32-E72D297353CC}">
                  <c16:uniqueId val="{0000005B-2A22-49CF-A307-162310A05DD4}"/>
                </c:ext>
              </c:extLst>
            </c:dLbl>
            <c:dLbl>
              <c:idx val="32"/>
              <c:delete val="1"/>
              <c:extLst>
                <c:ext xmlns:c15="http://schemas.microsoft.com/office/drawing/2012/chart" uri="{CE6537A1-D6FC-4f65-9D91-7224C49458BB}"/>
                <c:ext xmlns:c16="http://schemas.microsoft.com/office/drawing/2014/chart" uri="{C3380CC4-5D6E-409C-BE32-E72D297353CC}">
                  <c16:uniqueId val="{0000005C-2A22-49CF-A307-162310A05DD4}"/>
                </c:ext>
              </c:extLst>
            </c:dLbl>
            <c:dLbl>
              <c:idx val="33"/>
              <c:delete val="1"/>
              <c:extLst>
                <c:ext xmlns:c15="http://schemas.microsoft.com/office/drawing/2012/chart" uri="{CE6537A1-D6FC-4f65-9D91-7224C49458BB}"/>
                <c:ext xmlns:c16="http://schemas.microsoft.com/office/drawing/2014/chart" uri="{C3380CC4-5D6E-409C-BE32-E72D297353CC}">
                  <c16:uniqueId val="{0000005D-2A22-49CF-A307-162310A05DD4}"/>
                </c:ext>
              </c:extLst>
            </c:dLbl>
            <c:dLbl>
              <c:idx val="34"/>
              <c:delete val="1"/>
              <c:extLst>
                <c:ext xmlns:c15="http://schemas.microsoft.com/office/drawing/2012/chart" uri="{CE6537A1-D6FC-4f65-9D91-7224C49458BB}"/>
                <c:ext xmlns:c16="http://schemas.microsoft.com/office/drawing/2014/chart" uri="{C3380CC4-5D6E-409C-BE32-E72D297353CC}">
                  <c16:uniqueId val="{0000005E-2A22-49CF-A307-162310A05DD4}"/>
                </c:ext>
              </c:extLst>
            </c:dLbl>
            <c:dLbl>
              <c:idx val="35"/>
              <c:delete val="1"/>
              <c:extLst>
                <c:ext xmlns:c15="http://schemas.microsoft.com/office/drawing/2012/chart" uri="{CE6537A1-D6FC-4f65-9D91-7224C49458BB}"/>
                <c:ext xmlns:c16="http://schemas.microsoft.com/office/drawing/2014/chart" uri="{C3380CC4-5D6E-409C-BE32-E72D297353CC}">
                  <c16:uniqueId val="{0000005F-2A22-49CF-A307-162310A05DD4}"/>
                </c:ext>
              </c:extLst>
            </c:dLbl>
            <c:dLbl>
              <c:idx val="36"/>
              <c:delete val="1"/>
              <c:extLst>
                <c:ext xmlns:c15="http://schemas.microsoft.com/office/drawing/2012/chart" uri="{CE6537A1-D6FC-4f65-9D91-7224C49458BB}"/>
                <c:ext xmlns:c16="http://schemas.microsoft.com/office/drawing/2014/chart" uri="{C3380CC4-5D6E-409C-BE32-E72D297353CC}">
                  <c16:uniqueId val="{00000041-CB8F-4A05-BD98-290D1B992969}"/>
                </c:ext>
              </c:extLst>
            </c:dLbl>
            <c:dLbl>
              <c:idx val="37"/>
              <c:delete val="1"/>
              <c:extLst>
                <c:ext xmlns:c15="http://schemas.microsoft.com/office/drawing/2012/chart" uri="{CE6537A1-D6FC-4f65-9D91-7224C49458BB}"/>
                <c:ext xmlns:c16="http://schemas.microsoft.com/office/drawing/2014/chart" uri="{C3380CC4-5D6E-409C-BE32-E72D297353CC}">
                  <c16:uniqueId val="{00000040-CB8F-4A05-BD98-290D1B992969}"/>
                </c:ext>
              </c:extLst>
            </c:dLbl>
            <c:dLbl>
              <c:idx val="38"/>
              <c:delete val="1"/>
              <c:extLst>
                <c:ext xmlns:c15="http://schemas.microsoft.com/office/drawing/2012/chart" uri="{CE6537A1-D6FC-4f65-9D91-7224C49458BB}"/>
                <c:ext xmlns:c16="http://schemas.microsoft.com/office/drawing/2014/chart" uri="{C3380CC4-5D6E-409C-BE32-E72D297353CC}">
                  <c16:uniqueId val="{0000003E-CB8F-4A05-BD98-290D1B992969}"/>
                </c:ext>
              </c:extLst>
            </c:dLbl>
            <c:dLbl>
              <c:idx val="39"/>
              <c:delete val="1"/>
              <c:extLst>
                <c:ext xmlns:c15="http://schemas.microsoft.com/office/drawing/2012/chart" uri="{CE6537A1-D6FC-4f65-9D91-7224C49458BB}"/>
                <c:ext xmlns:c16="http://schemas.microsoft.com/office/drawing/2014/chart" uri="{C3380CC4-5D6E-409C-BE32-E72D297353CC}">
                  <c16:uniqueId val="{0000003F-CB8F-4A05-BD98-290D1B992969}"/>
                </c:ext>
              </c:extLst>
            </c:dLbl>
            <c:dLbl>
              <c:idx val="40"/>
              <c:delete val="1"/>
              <c:extLst>
                <c:ext xmlns:c15="http://schemas.microsoft.com/office/drawing/2012/chart" uri="{CE6537A1-D6FC-4f65-9D91-7224C49458BB}"/>
                <c:ext xmlns:c16="http://schemas.microsoft.com/office/drawing/2014/chart" uri="{C3380CC4-5D6E-409C-BE32-E72D297353CC}">
                  <c16:uniqueId val="{0000003D-CB8F-4A05-BD98-290D1B992969}"/>
                </c:ext>
              </c:extLst>
            </c:dLbl>
            <c:dLbl>
              <c:idx val="41"/>
              <c:delete val="1"/>
              <c:extLst>
                <c:ext xmlns:c15="http://schemas.microsoft.com/office/drawing/2012/chart" uri="{CE6537A1-D6FC-4f65-9D91-7224C49458BB}"/>
                <c:ext xmlns:c16="http://schemas.microsoft.com/office/drawing/2014/chart" uri="{C3380CC4-5D6E-409C-BE32-E72D297353CC}">
                  <c16:uniqueId val="{00000003-097D-47C3-AB30-DA6A4D3A1961}"/>
                </c:ext>
              </c:extLst>
            </c:dLbl>
            <c:dLbl>
              <c:idx val="42"/>
              <c:delete val="1"/>
              <c:extLst>
                <c:ext xmlns:c15="http://schemas.microsoft.com/office/drawing/2012/chart" uri="{CE6537A1-D6FC-4f65-9D91-7224C49458BB}"/>
                <c:ext xmlns:c16="http://schemas.microsoft.com/office/drawing/2014/chart" uri="{C3380CC4-5D6E-409C-BE32-E72D297353CC}">
                  <c16:uniqueId val="{0000003C-CB8F-4A05-BD98-290D1B992969}"/>
                </c:ext>
              </c:extLst>
            </c:dLbl>
            <c:dLbl>
              <c:idx val="43"/>
              <c:delete val="1"/>
              <c:extLst>
                <c:ext xmlns:c15="http://schemas.microsoft.com/office/drawing/2012/chart" uri="{CE6537A1-D6FC-4f65-9D91-7224C49458BB}"/>
                <c:ext xmlns:c16="http://schemas.microsoft.com/office/drawing/2014/chart" uri="{C3380CC4-5D6E-409C-BE32-E72D297353CC}">
                  <c16:uniqueId val="{0000003B-CB8F-4A05-BD98-290D1B992969}"/>
                </c:ext>
              </c:extLst>
            </c:dLbl>
            <c:dLbl>
              <c:idx val="44"/>
              <c:delete val="1"/>
              <c:extLst>
                <c:ext xmlns:c15="http://schemas.microsoft.com/office/drawing/2012/chart" uri="{CE6537A1-D6FC-4f65-9D91-7224C49458BB}"/>
                <c:ext xmlns:c16="http://schemas.microsoft.com/office/drawing/2014/chart" uri="{C3380CC4-5D6E-409C-BE32-E72D297353CC}">
                  <c16:uniqueId val="{0000003A-CB8F-4A05-BD98-290D1B992969}"/>
                </c:ext>
              </c:extLst>
            </c:dLbl>
            <c:dLbl>
              <c:idx val="45"/>
              <c:delete val="1"/>
              <c:extLst>
                <c:ext xmlns:c15="http://schemas.microsoft.com/office/drawing/2012/chart" uri="{CE6537A1-D6FC-4f65-9D91-7224C49458BB}"/>
                <c:ext xmlns:c16="http://schemas.microsoft.com/office/drawing/2014/chart" uri="{C3380CC4-5D6E-409C-BE32-E72D297353CC}">
                  <c16:uniqueId val="{00000039-CB8F-4A05-BD98-290D1B992969}"/>
                </c:ext>
              </c:extLst>
            </c:dLbl>
            <c:dLbl>
              <c:idx val="46"/>
              <c:delete val="1"/>
              <c:extLst>
                <c:ext xmlns:c15="http://schemas.microsoft.com/office/drawing/2012/chart" uri="{CE6537A1-D6FC-4f65-9D91-7224C49458BB}"/>
                <c:ext xmlns:c16="http://schemas.microsoft.com/office/drawing/2014/chart" uri="{C3380CC4-5D6E-409C-BE32-E72D297353CC}">
                  <c16:uniqueId val="{00000038-CB8F-4A05-BD98-290D1B992969}"/>
                </c:ext>
              </c:extLst>
            </c:dLbl>
            <c:dLbl>
              <c:idx val="47"/>
              <c:delete val="1"/>
              <c:extLst>
                <c:ext xmlns:c15="http://schemas.microsoft.com/office/drawing/2012/chart" uri="{CE6537A1-D6FC-4f65-9D91-7224C49458BB}"/>
                <c:ext xmlns:c16="http://schemas.microsoft.com/office/drawing/2014/chart" uri="{C3380CC4-5D6E-409C-BE32-E72D297353CC}">
                  <c16:uniqueId val="{00000001-C80A-466F-B195-08CB3132F59B}"/>
                </c:ext>
              </c:extLst>
            </c:dLbl>
            <c:dLbl>
              <c:idx val="48"/>
              <c:delete val="1"/>
              <c:extLst>
                <c:ext xmlns:c15="http://schemas.microsoft.com/office/drawing/2012/chart" uri="{CE6537A1-D6FC-4f65-9D91-7224C49458BB}"/>
                <c:ext xmlns:c16="http://schemas.microsoft.com/office/drawing/2014/chart" uri="{C3380CC4-5D6E-409C-BE32-E72D297353CC}">
                  <c16:uniqueId val="{00000037-CB8F-4A05-BD98-290D1B992969}"/>
                </c:ext>
              </c:extLst>
            </c:dLbl>
            <c:dLbl>
              <c:idx val="49"/>
              <c:delete val="1"/>
              <c:extLst>
                <c:ext xmlns:c15="http://schemas.microsoft.com/office/drawing/2012/chart" uri="{CE6537A1-D6FC-4f65-9D91-7224C49458BB}"/>
                <c:ext xmlns:c16="http://schemas.microsoft.com/office/drawing/2014/chart" uri="{C3380CC4-5D6E-409C-BE32-E72D297353CC}">
                  <c16:uniqueId val="{00000036-CB8F-4A05-BD98-290D1B992969}"/>
                </c:ext>
              </c:extLst>
            </c:dLbl>
            <c:dLbl>
              <c:idx val="50"/>
              <c:delete val="1"/>
              <c:extLst>
                <c:ext xmlns:c15="http://schemas.microsoft.com/office/drawing/2012/chart" uri="{CE6537A1-D6FC-4f65-9D91-7224C49458BB}"/>
                <c:ext xmlns:c16="http://schemas.microsoft.com/office/drawing/2014/chart" uri="{C3380CC4-5D6E-409C-BE32-E72D297353CC}">
                  <c16:uniqueId val="{00000000-B8F6-44E6-9C77-3078243CF317}"/>
                </c:ext>
              </c:extLst>
            </c:dLbl>
            <c:dLbl>
              <c:idx val="51"/>
              <c:delete val="1"/>
              <c:extLst>
                <c:ext xmlns:c15="http://schemas.microsoft.com/office/drawing/2012/chart" uri="{CE6537A1-D6FC-4f65-9D91-7224C49458BB}"/>
                <c:ext xmlns:c16="http://schemas.microsoft.com/office/drawing/2014/chart" uri="{C3380CC4-5D6E-409C-BE32-E72D297353CC}">
                  <c16:uniqueId val="{00000035-CB8F-4A05-BD98-290D1B992969}"/>
                </c:ext>
              </c:extLst>
            </c:dLbl>
            <c:dLbl>
              <c:idx val="52"/>
              <c:delete val="1"/>
              <c:extLst>
                <c:ext xmlns:c15="http://schemas.microsoft.com/office/drawing/2012/chart" uri="{CE6537A1-D6FC-4f65-9D91-7224C49458BB}"/>
                <c:ext xmlns:c16="http://schemas.microsoft.com/office/drawing/2014/chart" uri="{C3380CC4-5D6E-409C-BE32-E72D297353CC}">
                  <c16:uniqueId val="{00000033-CB8F-4A05-BD98-290D1B992969}"/>
                </c:ext>
              </c:extLst>
            </c:dLbl>
            <c:dLbl>
              <c:idx val="53"/>
              <c:delete val="1"/>
              <c:extLst>
                <c:ext xmlns:c15="http://schemas.microsoft.com/office/drawing/2012/chart" uri="{CE6537A1-D6FC-4f65-9D91-7224C49458BB}"/>
                <c:ext xmlns:c16="http://schemas.microsoft.com/office/drawing/2014/chart" uri="{C3380CC4-5D6E-409C-BE32-E72D297353CC}">
                  <c16:uniqueId val="{00000034-CB8F-4A05-BD98-290D1B992969}"/>
                </c:ext>
              </c:extLst>
            </c:dLbl>
            <c:dLbl>
              <c:idx val="54"/>
              <c:delete val="1"/>
              <c:extLst>
                <c:ext xmlns:c15="http://schemas.microsoft.com/office/drawing/2012/chart" uri="{CE6537A1-D6FC-4f65-9D91-7224C49458BB}"/>
                <c:ext xmlns:c16="http://schemas.microsoft.com/office/drawing/2014/chart" uri="{C3380CC4-5D6E-409C-BE32-E72D297353CC}">
                  <c16:uniqueId val="{00000002-890A-49B0-9B39-27C924FE6A1E}"/>
                </c:ext>
              </c:extLst>
            </c:dLbl>
            <c:dLbl>
              <c:idx val="55"/>
              <c:delete val="1"/>
              <c:extLst>
                <c:ext xmlns:c15="http://schemas.microsoft.com/office/drawing/2012/chart" uri="{CE6537A1-D6FC-4f65-9D91-7224C49458BB}"/>
                <c:ext xmlns:c16="http://schemas.microsoft.com/office/drawing/2014/chart" uri="{C3380CC4-5D6E-409C-BE32-E72D297353CC}">
                  <c16:uniqueId val="{00000001-890A-49B0-9B39-27C924FE6A1E}"/>
                </c:ext>
              </c:extLst>
            </c:dLbl>
            <c:dLbl>
              <c:idx val="56"/>
              <c:delete val="1"/>
              <c:extLst>
                <c:ext xmlns:c15="http://schemas.microsoft.com/office/drawing/2012/chart" uri="{CE6537A1-D6FC-4f65-9D91-7224C49458BB}"/>
                <c:ext xmlns:c16="http://schemas.microsoft.com/office/drawing/2014/chart" uri="{C3380CC4-5D6E-409C-BE32-E72D297353CC}">
                  <c16:uniqueId val="{00000000-890A-49B0-9B39-27C924FE6A1E}"/>
                </c:ext>
              </c:extLst>
            </c:dLbl>
            <c:dLbl>
              <c:idx val="57"/>
              <c:delete val="1"/>
              <c:extLst>
                <c:ext xmlns:c15="http://schemas.microsoft.com/office/drawing/2012/chart" uri="{CE6537A1-D6FC-4f65-9D91-7224C49458BB}"/>
                <c:ext xmlns:c16="http://schemas.microsoft.com/office/drawing/2014/chart" uri="{C3380CC4-5D6E-409C-BE32-E72D297353CC}">
                  <c16:uniqueId val="{00000003-14D6-4EDB-8F24-2A074AA64143}"/>
                </c:ext>
              </c:extLst>
            </c:dLbl>
            <c:dLbl>
              <c:idx val="58"/>
              <c:delete val="1"/>
              <c:extLst>
                <c:ext xmlns:c15="http://schemas.microsoft.com/office/drawing/2012/chart" uri="{CE6537A1-D6FC-4f65-9D91-7224C49458BB}"/>
                <c:ext xmlns:c16="http://schemas.microsoft.com/office/drawing/2014/chart" uri="{C3380CC4-5D6E-409C-BE32-E72D297353CC}">
                  <c16:uniqueId val="{00000005-14D6-4EDB-8F24-2A074AA64143}"/>
                </c:ext>
              </c:extLst>
            </c:dLbl>
            <c:dLbl>
              <c:idx val="59"/>
              <c:delete val="1"/>
              <c:extLst>
                <c:ext xmlns:c15="http://schemas.microsoft.com/office/drawing/2012/chart" uri="{CE6537A1-D6FC-4f65-9D91-7224C49458BB}"/>
                <c:ext xmlns:c16="http://schemas.microsoft.com/office/drawing/2014/chart" uri="{C3380CC4-5D6E-409C-BE32-E72D297353CC}">
                  <c16:uniqueId val="{00000004-14D6-4EDB-8F24-2A074AA64143}"/>
                </c:ext>
              </c:extLst>
            </c:dLbl>
            <c:dLbl>
              <c:idx val="60"/>
              <c:delete val="1"/>
              <c:extLst>
                <c:ext xmlns:c15="http://schemas.microsoft.com/office/drawing/2012/chart" uri="{CE6537A1-D6FC-4f65-9D91-7224C49458BB}"/>
                <c:ext xmlns:c16="http://schemas.microsoft.com/office/drawing/2014/chart" uri="{C3380CC4-5D6E-409C-BE32-E72D297353CC}">
                  <c16:uniqueId val="{00000000-0338-4BC9-A67D-CF284F2B7E8B}"/>
                </c:ext>
              </c:extLst>
            </c:dLbl>
            <c:dLbl>
              <c:idx val="61"/>
              <c:delete val="1"/>
              <c:extLst>
                <c:ext xmlns:c15="http://schemas.microsoft.com/office/drawing/2012/chart" uri="{CE6537A1-D6FC-4f65-9D91-7224C49458BB}"/>
                <c:ext xmlns:c16="http://schemas.microsoft.com/office/drawing/2014/chart" uri="{C3380CC4-5D6E-409C-BE32-E72D297353CC}">
                  <c16:uniqueId val="{00000001-0338-4BC9-A67D-CF284F2B7E8B}"/>
                </c:ext>
              </c:extLst>
            </c:dLbl>
            <c:dLbl>
              <c:idx val="62"/>
              <c:layout>
                <c:manualLayout>
                  <c:x val="-4.8875855327468229E-2"/>
                  <c:y val="-0.218181818181818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38-4BC9-A67D-CF284F2B7E8B}"/>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Geomanist" panose="02000503000000020004"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extLst>
                <c:ext xmlns:c15="http://schemas.microsoft.com/office/drawing/2012/chart" uri="{02D57815-91ED-43cb-92C2-25804820EDAC}">
                  <c15:fullRef>
                    <c15:sqref>'2.2'!$A$113:$B$187</c15:sqref>
                  </c15:fullRef>
                </c:ext>
              </c:extLst>
              <c:f>'2.2'!$A$125:$B$187</c:f>
              <c:multiLvlStrCache>
                <c:ptCount val="63"/>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lvl>
                <c:lvl>
                  <c:pt idx="0">
                    <c:v>2021</c:v>
                  </c:pt>
                  <c:pt idx="12">
                    <c:v>2022</c:v>
                  </c:pt>
                  <c:pt idx="24">
                    <c:v>2023</c:v>
                  </c:pt>
                  <c:pt idx="36">
                    <c:v>2024</c:v>
                  </c:pt>
                  <c:pt idx="48">
                    <c:v>2025</c:v>
                  </c:pt>
                  <c:pt idx="60">
                    <c:v>2026</c:v>
                  </c:pt>
                </c:lvl>
              </c:multiLvlStrCache>
            </c:multiLvlStrRef>
          </c:cat>
          <c:val>
            <c:numRef>
              <c:extLst>
                <c:ext xmlns:c15="http://schemas.microsoft.com/office/drawing/2012/chart" uri="{02D57815-91ED-43cb-92C2-25804820EDAC}">
                  <c15:fullRef>
                    <c15:sqref>'2.2'!$D$113:$D$187</c15:sqref>
                  </c15:fullRef>
                </c:ext>
              </c:extLst>
              <c:f>'2.2'!$D$125:$D$187</c:f>
              <c:numCache>
                <c:formatCode>#,##0.00</c:formatCode>
                <c:ptCount val="63"/>
                <c:pt idx="0">
                  <c:v>14036.311807496695</c:v>
                </c:pt>
                <c:pt idx="1">
                  <c:v>14088.685833677469</c:v>
                </c:pt>
                <c:pt idx="2">
                  <c:v>14421.571565279601</c:v>
                </c:pt>
                <c:pt idx="3">
                  <c:v>14685.715295679651</c:v>
                </c:pt>
                <c:pt idx="4">
                  <c:v>14403.582502085901</c:v>
                </c:pt>
                <c:pt idx="5">
                  <c:v>15075.903753905253</c:v>
                </c:pt>
                <c:pt idx="6">
                  <c:v>15059.439825778831</c:v>
                </c:pt>
                <c:pt idx="7">
                  <c:v>14985.716813881072</c:v>
                </c:pt>
                <c:pt idx="8">
                  <c:v>15924.739990670923</c:v>
                </c:pt>
                <c:pt idx="9">
                  <c:v>15043.270108643301</c:v>
                </c:pt>
                <c:pt idx="10">
                  <c:v>14925.937229191248</c:v>
                </c:pt>
                <c:pt idx="11">
                  <c:v>16079.341565176666</c:v>
                </c:pt>
                <c:pt idx="12">
                  <c:v>15875.75986237783</c:v>
                </c:pt>
                <c:pt idx="13">
                  <c:v>15377.107114970835</c:v>
                </c:pt>
                <c:pt idx="14">
                  <c:v>16651.688724953598</c:v>
                </c:pt>
                <c:pt idx="15">
                  <c:v>15849.167565924556</c:v>
                </c:pt>
                <c:pt idx="16">
                  <c:v>16014.262689480312</c:v>
                </c:pt>
                <c:pt idx="17">
                  <c:v>16687.962048660112</c:v>
                </c:pt>
                <c:pt idx="18">
                  <c:v>16887.186519797546</c:v>
                </c:pt>
                <c:pt idx="19">
                  <c:v>16179.478449582632</c:v>
                </c:pt>
                <c:pt idx="20">
                  <c:v>17557.005784538927</c:v>
                </c:pt>
                <c:pt idx="21">
                  <c:v>16841.999366949265</c:v>
                </c:pt>
                <c:pt idx="22">
                  <c:v>16197.809126172122</c:v>
                </c:pt>
                <c:pt idx="23">
                  <c:v>17309.38226167285</c:v>
                </c:pt>
                <c:pt idx="24">
                  <c:v>16699.675877630434</c:v>
                </c:pt>
                <c:pt idx="25">
                  <c:v>16419.238623002308</c:v>
                </c:pt>
                <c:pt idx="26">
                  <c:v>16776.407655668783</c:v>
                </c:pt>
                <c:pt idx="27">
                  <c:v>16150.083853071537</c:v>
                </c:pt>
                <c:pt idx="28">
                  <c:v>15847.952172629364</c:v>
                </c:pt>
                <c:pt idx="29">
                  <c:v>16350.073730159991</c:v>
                </c:pt>
                <c:pt idx="30">
                  <c:v>16020.136346491941</c:v>
                </c:pt>
                <c:pt idx="31">
                  <c:v>15808.665220649151</c:v>
                </c:pt>
                <c:pt idx="32">
                  <c:v>15891.107477745145</c:v>
                </c:pt>
                <c:pt idx="33">
                  <c:v>15798.1938954039</c:v>
                </c:pt>
                <c:pt idx="34">
                  <c:v>15653.903508787225</c:v>
                </c:pt>
                <c:pt idx="35">
                  <c:v>16092.367981100218</c:v>
                </c:pt>
                <c:pt idx="36">
                  <c:v>16099.338737038963</c:v>
                </c:pt>
                <c:pt idx="37">
                  <c:v>15642.955725960081</c:v>
                </c:pt>
                <c:pt idx="38">
                  <c:v>16420.675473379524</c:v>
                </c:pt>
                <c:pt idx="39">
                  <c:v>16207.673578910353</c:v>
                </c:pt>
                <c:pt idx="40">
                  <c:v>15901.181476229556</c:v>
                </c:pt>
                <c:pt idx="41">
                  <c:v>15980.331211245364</c:v>
                </c:pt>
                <c:pt idx="42">
                  <c:v>15833.637868777681</c:v>
                </c:pt>
                <c:pt idx="43">
                  <c:v>15381.962611286366</c:v>
                </c:pt>
                <c:pt idx="44">
                  <c:v>15767.315509661132</c:v>
                </c:pt>
                <c:pt idx="45">
                  <c:v>15667.363504942257</c:v>
                </c:pt>
                <c:pt idx="46">
                  <c:v>15410.488557990931</c:v>
                </c:pt>
                <c:pt idx="47">
                  <c:v>16437.927325374327</c:v>
                </c:pt>
                <c:pt idx="48">
                  <c:v>15850.856076655131</c:v>
                </c:pt>
                <c:pt idx="49">
                  <c:v>16095.455355547741</c:v>
                </c:pt>
                <c:pt idx="50">
                  <c:v>16689.52113716145</c:v>
                </c:pt>
                <c:pt idx="51">
                  <c:v>16240.867411229285</c:v>
                </c:pt>
                <c:pt idx="52">
                  <c:v>15948.587958000631</c:v>
                </c:pt>
                <c:pt idx="53">
                  <c:v>16176.008849488924</c:v>
                </c:pt>
                <c:pt idx="54">
                  <c:v>16172.89510969882</c:v>
                </c:pt>
                <c:pt idx="55">
                  <c:v>16732.597748380118</c:v>
                </c:pt>
                <c:pt idx="56">
                  <c:v>16742.705032918235</c:v>
                </c:pt>
                <c:pt idx="57">
                  <c:v>16417.93940893087</c:v>
                </c:pt>
                <c:pt idx="58">
                  <c:v>16770.751093892788</c:v>
                </c:pt>
                <c:pt idx="59">
                  <c:v>16902.45309708537</c:v>
                </c:pt>
                <c:pt idx="60">
                  <c:v>17145.120215199633</c:v>
                </c:pt>
                <c:pt idx="61">
                  <c:v>16899.239952121279</c:v>
                </c:pt>
                <c:pt idx="62">
                  <c:v>16376.90615038292</c:v>
                </c:pt>
              </c:numCache>
            </c:numRef>
          </c:val>
          <c:extLst>
            <c:ext xmlns:c15="http://schemas.microsoft.com/office/drawing/2012/chart" uri="{02D57815-91ED-43cb-92C2-25804820EDAC}">
              <c15:categoryFilterExceptions>
                <c15:categoryFilterException>
                  <c15:sqref>'2.2'!$D$113</c15:sqref>
                  <c15:dLbl>
                    <c:idx val="-1"/>
                    <c:delete val="1"/>
                    <c:extLst>
                      <c:ext uri="{CE6537A1-D6FC-4f65-9D91-7224C49458BB}"/>
                      <c:ext xmlns:c16="http://schemas.microsoft.com/office/drawing/2014/chart" uri="{C3380CC4-5D6E-409C-BE32-E72D297353CC}">
                        <c16:uniqueId val="{0000000C-8E8E-44FD-925F-719B39D18183}"/>
                      </c:ext>
                    </c:extLst>
                  </c15:dLbl>
                </c15:categoryFilterException>
                <c15:categoryFilterException>
                  <c15:sqref>'2.2'!$D$114</c15:sqref>
                  <c15:dLbl>
                    <c:idx val="-1"/>
                    <c:delete val="1"/>
                    <c:extLst>
                      <c:ext uri="{CE6537A1-D6FC-4f65-9D91-7224C49458BB}"/>
                      <c:ext xmlns:c16="http://schemas.microsoft.com/office/drawing/2014/chart" uri="{C3380CC4-5D6E-409C-BE32-E72D297353CC}">
                        <c16:uniqueId val="{0000000D-8E8E-44FD-925F-719B39D18183}"/>
                      </c:ext>
                    </c:extLst>
                  </c15:dLbl>
                </c15:categoryFilterException>
                <c15:categoryFilterException>
                  <c15:sqref>'2.2'!$D$115</c15:sqref>
                  <c15:dLbl>
                    <c:idx val="-1"/>
                    <c:delete val="1"/>
                    <c:extLst>
                      <c:ext uri="{CE6537A1-D6FC-4f65-9D91-7224C49458BB}"/>
                      <c:ext xmlns:c16="http://schemas.microsoft.com/office/drawing/2014/chart" uri="{C3380CC4-5D6E-409C-BE32-E72D297353CC}">
                        <c16:uniqueId val="{0000000E-8E8E-44FD-925F-719B39D18183}"/>
                      </c:ext>
                    </c:extLst>
                  </c15:dLbl>
                </c15:categoryFilterException>
                <c15:categoryFilterException>
                  <c15:sqref>'2.2'!$D$116</c15:sqref>
                  <c15:dLbl>
                    <c:idx val="-1"/>
                    <c:delete val="1"/>
                    <c:extLst>
                      <c:ext uri="{CE6537A1-D6FC-4f65-9D91-7224C49458BB}"/>
                      <c:ext xmlns:c16="http://schemas.microsoft.com/office/drawing/2014/chart" uri="{C3380CC4-5D6E-409C-BE32-E72D297353CC}">
                        <c16:uniqueId val="{0000000F-8E8E-44FD-925F-719B39D18183}"/>
                      </c:ext>
                    </c:extLst>
                  </c15:dLbl>
                </c15:categoryFilterException>
                <c15:categoryFilterException>
                  <c15:sqref>'2.2'!$D$117</c15:sqref>
                  <c15:dLbl>
                    <c:idx val="-1"/>
                    <c:delete val="1"/>
                    <c:extLst>
                      <c:ext uri="{CE6537A1-D6FC-4f65-9D91-7224C49458BB}"/>
                      <c:ext xmlns:c16="http://schemas.microsoft.com/office/drawing/2014/chart" uri="{C3380CC4-5D6E-409C-BE32-E72D297353CC}">
                        <c16:uniqueId val="{00000010-8E8E-44FD-925F-719B39D18183}"/>
                      </c:ext>
                    </c:extLst>
                  </c15:dLbl>
                </c15:categoryFilterException>
                <c15:categoryFilterException>
                  <c15:sqref>'2.2'!$D$118</c15:sqref>
                  <c15:dLbl>
                    <c:idx val="-1"/>
                    <c:delete val="1"/>
                    <c:extLst>
                      <c:ext uri="{CE6537A1-D6FC-4f65-9D91-7224C49458BB}"/>
                      <c:ext xmlns:c16="http://schemas.microsoft.com/office/drawing/2014/chart" uri="{C3380CC4-5D6E-409C-BE32-E72D297353CC}">
                        <c16:uniqueId val="{00000011-8E8E-44FD-925F-719B39D18183}"/>
                      </c:ext>
                    </c:extLst>
                  </c15:dLbl>
                </c15:categoryFilterException>
                <c15:categoryFilterException>
                  <c15:sqref>'2.2'!$D$119</c15:sqref>
                  <c15:dLbl>
                    <c:idx val="-1"/>
                    <c:delete val="1"/>
                    <c:extLst>
                      <c:ext uri="{CE6537A1-D6FC-4f65-9D91-7224C49458BB}"/>
                      <c:ext xmlns:c16="http://schemas.microsoft.com/office/drawing/2014/chart" uri="{C3380CC4-5D6E-409C-BE32-E72D297353CC}">
                        <c16:uniqueId val="{00000012-8E8E-44FD-925F-719B39D18183}"/>
                      </c:ext>
                    </c:extLst>
                  </c15:dLbl>
                </c15:categoryFilterException>
                <c15:categoryFilterException>
                  <c15:sqref>'2.2'!$D$120</c15:sqref>
                  <c15:dLbl>
                    <c:idx val="-1"/>
                    <c:delete val="1"/>
                    <c:extLst>
                      <c:ext uri="{CE6537A1-D6FC-4f65-9D91-7224C49458BB}"/>
                      <c:ext xmlns:c16="http://schemas.microsoft.com/office/drawing/2014/chart" uri="{C3380CC4-5D6E-409C-BE32-E72D297353CC}">
                        <c16:uniqueId val="{00000013-8E8E-44FD-925F-719B39D18183}"/>
                      </c:ext>
                    </c:extLst>
                  </c15:dLbl>
                </c15:categoryFilterException>
                <c15:categoryFilterException>
                  <c15:sqref>'2.2'!$D$121</c15:sqref>
                  <c15:dLbl>
                    <c:idx val="-1"/>
                    <c:delete val="1"/>
                    <c:extLst>
                      <c:ext uri="{CE6537A1-D6FC-4f65-9D91-7224C49458BB}"/>
                      <c:ext xmlns:c16="http://schemas.microsoft.com/office/drawing/2014/chart" uri="{C3380CC4-5D6E-409C-BE32-E72D297353CC}">
                        <c16:uniqueId val="{00000014-8E8E-44FD-925F-719B39D18183}"/>
                      </c:ext>
                    </c:extLst>
                  </c15:dLbl>
                </c15:categoryFilterException>
                <c15:categoryFilterException>
                  <c15:sqref>'2.2'!$D$122</c15:sqref>
                  <c15:dLbl>
                    <c:idx val="-1"/>
                    <c:delete val="1"/>
                    <c:extLst>
                      <c:ext uri="{CE6537A1-D6FC-4f65-9D91-7224C49458BB}"/>
                      <c:ext xmlns:c16="http://schemas.microsoft.com/office/drawing/2014/chart" uri="{C3380CC4-5D6E-409C-BE32-E72D297353CC}">
                        <c16:uniqueId val="{00000015-8E8E-44FD-925F-719B39D18183}"/>
                      </c:ext>
                    </c:extLst>
                  </c15:dLbl>
                </c15:categoryFilterException>
                <c15:categoryFilterException>
                  <c15:sqref>'2.2'!$D$123</c15:sqref>
                  <c15:dLbl>
                    <c:idx val="-1"/>
                    <c:delete val="1"/>
                    <c:extLst>
                      <c:ext uri="{CE6537A1-D6FC-4f65-9D91-7224C49458BB}"/>
                      <c:ext xmlns:c16="http://schemas.microsoft.com/office/drawing/2014/chart" uri="{C3380CC4-5D6E-409C-BE32-E72D297353CC}">
                        <c16:uniqueId val="{00000016-8E8E-44FD-925F-719B39D18183}"/>
                      </c:ext>
                    </c:extLst>
                  </c15:dLbl>
                </c15:categoryFilterException>
                <c15:categoryFilterException>
                  <c15:sqref>'2.2'!$D$124</c15:sqref>
                  <c15:dLbl>
                    <c:idx val="-1"/>
                    <c:delete val="1"/>
                    <c:extLst>
                      <c:ext uri="{CE6537A1-D6FC-4f65-9D91-7224C49458BB}"/>
                      <c:ext xmlns:c16="http://schemas.microsoft.com/office/drawing/2014/chart" uri="{C3380CC4-5D6E-409C-BE32-E72D297353CC}">
                        <c16:uniqueId val="{00000017-8E8E-44FD-925F-719B39D18183}"/>
                      </c:ext>
                    </c:extLst>
                  </c15:dLbl>
                </c15:categoryFilterException>
              </c15:categoryFilterExceptions>
            </c:ext>
            <c:ext xmlns:c16="http://schemas.microsoft.com/office/drawing/2014/chart" uri="{C3380CC4-5D6E-409C-BE32-E72D297353CC}">
              <c16:uniqueId val="{00000003-E1BE-4E8F-989E-259EB230F4E5}"/>
            </c:ext>
          </c:extLst>
        </c:ser>
        <c:dLbls>
          <c:showLegendKey val="0"/>
          <c:showVal val="0"/>
          <c:showCatName val="0"/>
          <c:showSerName val="0"/>
          <c:showPercent val="0"/>
          <c:showBubbleSize val="0"/>
        </c:dLbls>
        <c:gapWidth val="75"/>
        <c:axId val="486510856"/>
        <c:axId val="486511248"/>
      </c:barChart>
      <c:catAx>
        <c:axId val="486510856"/>
        <c:scaling>
          <c:orientation val="minMax"/>
        </c:scaling>
        <c:delete val="0"/>
        <c:axPos val="b"/>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Geomanist" panose="02000503000000020004" pitchFamily="50" charset="0"/>
                <a:ea typeface="+mn-ea"/>
                <a:cs typeface="+mn-cs"/>
              </a:defRPr>
            </a:pPr>
            <a:endParaRPr lang="en-US"/>
          </a:p>
        </c:txPr>
        <c:crossAx val="486511248"/>
        <c:crosses val="autoZero"/>
        <c:auto val="1"/>
        <c:lblAlgn val="ctr"/>
        <c:lblOffset val="100"/>
        <c:tickLblSkip val="1"/>
        <c:noMultiLvlLbl val="0"/>
      </c:catAx>
      <c:valAx>
        <c:axId val="486511248"/>
        <c:scaling>
          <c:orientation val="minMax"/>
        </c:scaling>
        <c:delete val="0"/>
        <c:axPos val="l"/>
        <c:majorGridlines>
          <c:spPr>
            <a:ln w="9525" cap="flat" cmpd="sng" algn="ctr">
              <a:solidFill>
                <a:schemeClr val="tx1">
                  <a:tint val="75000"/>
                  <a:shade val="95000"/>
                  <a:satMod val="105000"/>
                </a:schemeClr>
              </a:solidFill>
              <a:prstDash val="dash"/>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Geomanist" panose="02000503000000020004" pitchFamily="50" charset="0"/>
                    <a:ea typeface="+mn-ea"/>
                    <a:cs typeface="+mn-cs"/>
                  </a:defRPr>
                </a:pPr>
                <a:r>
                  <a:rPr lang="en-US" sz="1100"/>
                  <a:t>BND Million</a:t>
                </a:r>
              </a:p>
            </c:rich>
          </c:tx>
          <c:layout>
            <c:manualLayout>
              <c:xMode val="edge"/>
              <c:yMode val="edge"/>
              <c:x val="2.29743459486919E-3"/>
              <c:y val="0.40305925395689174"/>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Geomanist" panose="02000503000000020004" pitchFamily="50" charset="0"/>
                  <a:ea typeface="+mn-ea"/>
                  <a:cs typeface="+mn-cs"/>
                </a:defRPr>
              </a:pPr>
              <a:endParaRPr lang="en-US"/>
            </a:p>
          </c:txPr>
        </c:title>
        <c:numFmt formatCode="#,##0.00" sourceLinked="1"/>
        <c:majorTickMark val="none"/>
        <c:minorTickMark val="none"/>
        <c:tickLblPos val="nextTo"/>
        <c:spPr>
          <a:noFill/>
          <a:ln w="9525" cap="flat" cmpd="sng" algn="ctr">
            <a:solidFill>
              <a:schemeClr val="bg1">
                <a:lumMod val="6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Geomanist" panose="02000503000000020004" pitchFamily="50" charset="0"/>
                <a:ea typeface="+mn-ea"/>
                <a:cs typeface="+mn-cs"/>
              </a:defRPr>
            </a:pPr>
            <a:endParaRPr lang="en-US"/>
          </a:p>
        </c:txPr>
        <c:crossAx val="486510856"/>
        <c:crosses val="autoZero"/>
        <c:crossBetween val="between"/>
      </c:valAx>
      <c:spPr>
        <a:noFill/>
        <a:ln w="25400">
          <a:noFill/>
        </a:ln>
        <a:effectLst/>
      </c:spPr>
    </c:plotArea>
    <c:legend>
      <c:legendPos val="b"/>
      <c:layout>
        <c:manualLayout>
          <c:xMode val="edge"/>
          <c:yMode val="edge"/>
          <c:x val="0.27797319140092824"/>
          <c:y val="0.95543895649407462"/>
          <c:w val="0.45900559455072359"/>
          <c:h val="3.9730838281236962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Heuristica" panose="02020603050705020204" pitchFamily="18" charset="0"/>
              <a:ea typeface="+mn-ea"/>
              <a:cs typeface="+mn-cs"/>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latin typeface="Geomanist" panose="02000503000000020004" pitchFamily="50" charset="0"/>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en-US" sz="2000" b="1" i="0" u="none" strike="noStrike" kern="1200" baseline="0">
                <a:solidFill>
                  <a:srgbClr val="006E59"/>
                </a:solidFill>
                <a:latin typeface="Heuristica" panose="02020603050705020204" pitchFamily="18" charset="0"/>
                <a:ea typeface="+mn-ea"/>
                <a:cs typeface="+mn-cs"/>
              </a:defRPr>
            </a:pPr>
            <a:r>
              <a:rPr lang="en-US" sz="2000" b="1" i="0" u="none" strike="noStrike" kern="1200" baseline="0">
                <a:solidFill>
                  <a:srgbClr val="006E59"/>
                </a:solidFill>
                <a:latin typeface="Heuristica" panose="02020603050705020204" pitchFamily="18" charset="0"/>
                <a:ea typeface="+mn-ea"/>
                <a:cs typeface="+mn-cs"/>
              </a:rPr>
              <a:t>Chart 2.3: </a:t>
            </a:r>
            <a:r>
              <a:rPr lang="en-US" sz="2000" b="1" i="0" u="none" strike="noStrike" kern="1200" baseline="0">
                <a:solidFill>
                  <a:srgbClr val="D4C029"/>
                </a:solidFill>
                <a:latin typeface="Heuristica" panose="02020603050705020204" pitchFamily="18" charset="0"/>
                <a:ea typeface="+mn-ea"/>
                <a:cs typeface="+mn-cs"/>
              </a:rPr>
              <a:t>Banking System: Direction of Lending</a:t>
            </a:r>
          </a:p>
        </c:rich>
      </c:tx>
      <c:layout>
        <c:manualLayout>
          <c:xMode val="edge"/>
          <c:yMode val="edge"/>
          <c:x val="0.20506557831297481"/>
          <c:y val="4.6917998886502827E-3"/>
        </c:manualLayout>
      </c:layout>
      <c:overlay val="0"/>
    </c:title>
    <c:autoTitleDeleted val="0"/>
    <c:plotArea>
      <c:layout>
        <c:manualLayout>
          <c:layoutTarget val="inner"/>
          <c:xMode val="edge"/>
          <c:yMode val="edge"/>
          <c:x val="0.11702934860415173"/>
          <c:y val="5.2814920862164959E-2"/>
          <c:w val="0.88184505386305945"/>
          <c:h val="0.80183408892070296"/>
        </c:manualLayout>
      </c:layout>
      <c:barChart>
        <c:barDir val="col"/>
        <c:grouping val="stacked"/>
        <c:varyColors val="0"/>
        <c:ser>
          <c:idx val="2"/>
          <c:order val="1"/>
          <c:tx>
            <c:strRef>
              <c:f>'2.3'!$AA$4:$AA$7</c:f>
              <c:strCache>
                <c:ptCount val="4"/>
                <c:pt idx="0">
                  <c:v>Foreign Lending</c:v>
                </c:pt>
              </c:strCache>
            </c:strRef>
          </c:tx>
          <c:spPr>
            <a:solidFill>
              <a:schemeClr val="tx1">
                <a:lumMod val="50000"/>
                <a:lumOff val="50000"/>
              </a:schemeClr>
            </a:solidFill>
            <a:ln>
              <a:solidFill>
                <a:schemeClr val="tx1">
                  <a:lumMod val="50000"/>
                  <a:lumOff val="50000"/>
                </a:scheme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881C-430C-AD37-46CFA28A265D}"/>
                </c:ext>
              </c:extLst>
            </c:dLbl>
            <c:dLbl>
              <c:idx val="1"/>
              <c:delete val="1"/>
              <c:extLst>
                <c:ext xmlns:c15="http://schemas.microsoft.com/office/drawing/2012/chart" uri="{CE6537A1-D6FC-4f65-9D91-7224C49458BB}"/>
                <c:ext xmlns:c16="http://schemas.microsoft.com/office/drawing/2014/chart" uri="{C3380CC4-5D6E-409C-BE32-E72D297353CC}">
                  <c16:uniqueId val="{00000021-C8E2-4D9B-8721-94A700032B38}"/>
                </c:ext>
              </c:extLst>
            </c:dLbl>
            <c:dLbl>
              <c:idx val="2"/>
              <c:delete val="1"/>
              <c:extLst>
                <c:ext xmlns:c15="http://schemas.microsoft.com/office/drawing/2012/chart" uri="{CE6537A1-D6FC-4f65-9D91-7224C49458BB}"/>
                <c:ext xmlns:c16="http://schemas.microsoft.com/office/drawing/2014/chart" uri="{C3380CC4-5D6E-409C-BE32-E72D297353CC}">
                  <c16:uniqueId val="{00000022-C8E2-4D9B-8721-94A700032B38}"/>
                </c:ext>
              </c:extLst>
            </c:dLbl>
            <c:dLbl>
              <c:idx val="3"/>
              <c:delete val="1"/>
              <c:extLst>
                <c:ext xmlns:c15="http://schemas.microsoft.com/office/drawing/2012/chart" uri="{CE6537A1-D6FC-4f65-9D91-7224C49458BB}"/>
                <c:ext xmlns:c16="http://schemas.microsoft.com/office/drawing/2014/chart" uri="{C3380CC4-5D6E-409C-BE32-E72D297353CC}">
                  <c16:uniqueId val="{0000002D-57B8-4DBF-A408-7066DAF469F2}"/>
                </c:ext>
              </c:extLst>
            </c:dLbl>
            <c:dLbl>
              <c:idx val="4"/>
              <c:delete val="1"/>
              <c:extLst>
                <c:ext xmlns:c15="http://schemas.microsoft.com/office/drawing/2012/chart" uri="{CE6537A1-D6FC-4f65-9D91-7224C49458BB}"/>
                <c:ext xmlns:c16="http://schemas.microsoft.com/office/drawing/2014/chart" uri="{C3380CC4-5D6E-409C-BE32-E72D297353CC}">
                  <c16:uniqueId val="{0000002C-C765-421E-AD2F-8C5241CA80CD}"/>
                </c:ext>
              </c:extLst>
            </c:dLbl>
            <c:dLbl>
              <c:idx val="5"/>
              <c:delete val="1"/>
              <c:extLst>
                <c:ext xmlns:c15="http://schemas.microsoft.com/office/drawing/2012/chart" uri="{CE6537A1-D6FC-4f65-9D91-7224C49458BB}"/>
                <c:ext xmlns:c16="http://schemas.microsoft.com/office/drawing/2014/chart" uri="{C3380CC4-5D6E-409C-BE32-E72D297353CC}">
                  <c16:uniqueId val="{0000002D-C765-421E-AD2F-8C5241CA80CD}"/>
                </c:ext>
              </c:extLst>
            </c:dLbl>
            <c:dLbl>
              <c:idx val="6"/>
              <c:delete val="1"/>
              <c:extLst>
                <c:ext xmlns:c15="http://schemas.microsoft.com/office/drawing/2012/chart" uri="{CE6537A1-D6FC-4f65-9D91-7224C49458BB}"/>
                <c:ext xmlns:c16="http://schemas.microsoft.com/office/drawing/2014/chart" uri="{C3380CC4-5D6E-409C-BE32-E72D297353CC}">
                  <c16:uniqueId val="{0000002E-4A60-43EC-95F5-3019B07077A5}"/>
                </c:ext>
              </c:extLst>
            </c:dLbl>
            <c:dLbl>
              <c:idx val="7"/>
              <c:delete val="1"/>
              <c:extLst>
                <c:ext xmlns:c15="http://schemas.microsoft.com/office/drawing/2012/chart" uri="{CE6537A1-D6FC-4f65-9D91-7224C49458BB}"/>
                <c:ext xmlns:c16="http://schemas.microsoft.com/office/drawing/2014/chart" uri="{C3380CC4-5D6E-409C-BE32-E72D297353CC}">
                  <c16:uniqueId val="{0000002D-754B-4E45-843A-A17FA8BB0EC1}"/>
                </c:ext>
              </c:extLst>
            </c:dLbl>
            <c:dLbl>
              <c:idx val="8"/>
              <c:delete val="1"/>
              <c:extLst>
                <c:ext xmlns:c15="http://schemas.microsoft.com/office/drawing/2012/chart" uri="{CE6537A1-D6FC-4f65-9D91-7224C49458BB}"/>
                <c:ext xmlns:c16="http://schemas.microsoft.com/office/drawing/2014/chart" uri="{C3380CC4-5D6E-409C-BE32-E72D297353CC}">
                  <c16:uniqueId val="{0000002F-F731-47D2-9133-C46429607694}"/>
                </c:ext>
              </c:extLst>
            </c:dLbl>
            <c:dLbl>
              <c:idx val="9"/>
              <c:delete val="1"/>
              <c:extLst>
                <c:ext xmlns:c15="http://schemas.microsoft.com/office/drawing/2012/chart" uri="{CE6537A1-D6FC-4f65-9D91-7224C49458BB}"/>
                <c:ext xmlns:c16="http://schemas.microsoft.com/office/drawing/2014/chart" uri="{C3380CC4-5D6E-409C-BE32-E72D297353CC}">
                  <c16:uniqueId val="{00000040-C175-477D-86C1-E246CB8B4F83}"/>
                </c:ext>
              </c:extLst>
            </c:dLbl>
            <c:dLbl>
              <c:idx val="10"/>
              <c:delete val="1"/>
              <c:extLst>
                <c:ext xmlns:c15="http://schemas.microsoft.com/office/drawing/2012/chart" uri="{CE6537A1-D6FC-4f65-9D91-7224C49458BB}"/>
                <c:ext xmlns:c16="http://schemas.microsoft.com/office/drawing/2014/chart" uri="{C3380CC4-5D6E-409C-BE32-E72D297353CC}">
                  <c16:uniqueId val="{0000003F-4BD4-46C6-921D-61DCF80C778C}"/>
                </c:ext>
              </c:extLst>
            </c:dLbl>
            <c:dLbl>
              <c:idx val="11"/>
              <c:delete val="1"/>
              <c:extLst>
                <c:ext xmlns:c15="http://schemas.microsoft.com/office/drawing/2012/chart" uri="{CE6537A1-D6FC-4f65-9D91-7224C49458BB}"/>
                <c:ext xmlns:c16="http://schemas.microsoft.com/office/drawing/2014/chart" uri="{C3380CC4-5D6E-409C-BE32-E72D297353CC}">
                  <c16:uniqueId val="{00000040-2DCF-4220-BC0D-B97A585498FA}"/>
                </c:ext>
              </c:extLst>
            </c:dLbl>
            <c:dLbl>
              <c:idx val="12"/>
              <c:delete val="1"/>
              <c:extLst>
                <c:ext xmlns:c15="http://schemas.microsoft.com/office/drawing/2012/chart" uri="{CE6537A1-D6FC-4f65-9D91-7224C49458BB}"/>
                <c:ext xmlns:c16="http://schemas.microsoft.com/office/drawing/2014/chart" uri="{C3380CC4-5D6E-409C-BE32-E72D297353CC}">
                  <c16:uniqueId val="{0000003F-8AE7-4B87-976B-DCE7EB5E78DE}"/>
                </c:ext>
              </c:extLst>
            </c:dLbl>
            <c:dLbl>
              <c:idx val="13"/>
              <c:delete val="1"/>
              <c:extLst>
                <c:ext xmlns:c15="http://schemas.microsoft.com/office/drawing/2012/chart" uri="{CE6537A1-D6FC-4f65-9D91-7224C49458BB}"/>
                <c:ext xmlns:c16="http://schemas.microsoft.com/office/drawing/2014/chart" uri="{C3380CC4-5D6E-409C-BE32-E72D297353CC}">
                  <c16:uniqueId val="{00000040-1B0F-4B92-ADE5-9F69DB90D3E7}"/>
                </c:ext>
              </c:extLst>
            </c:dLbl>
            <c:dLbl>
              <c:idx val="14"/>
              <c:delete val="1"/>
              <c:extLst>
                <c:ext xmlns:c15="http://schemas.microsoft.com/office/drawing/2012/chart" uri="{CE6537A1-D6FC-4f65-9D91-7224C49458BB}"/>
                <c:ext xmlns:c16="http://schemas.microsoft.com/office/drawing/2014/chart" uri="{C3380CC4-5D6E-409C-BE32-E72D297353CC}">
                  <c16:uniqueId val="{00000041-1B0F-4B92-ADE5-9F69DB90D3E7}"/>
                </c:ext>
              </c:extLst>
            </c:dLbl>
            <c:dLbl>
              <c:idx val="15"/>
              <c:delete val="1"/>
              <c:extLst>
                <c:ext xmlns:c15="http://schemas.microsoft.com/office/drawing/2012/chart" uri="{CE6537A1-D6FC-4f65-9D91-7224C49458BB}"/>
                <c:ext xmlns:c16="http://schemas.microsoft.com/office/drawing/2014/chart" uri="{C3380CC4-5D6E-409C-BE32-E72D297353CC}">
                  <c16:uniqueId val="{0000003F-F811-4612-B247-592A91EE64C3}"/>
                </c:ext>
              </c:extLst>
            </c:dLbl>
            <c:dLbl>
              <c:idx val="16"/>
              <c:delete val="1"/>
              <c:extLst>
                <c:ext xmlns:c15="http://schemas.microsoft.com/office/drawing/2012/chart" uri="{CE6537A1-D6FC-4f65-9D91-7224C49458BB}"/>
                <c:ext xmlns:c16="http://schemas.microsoft.com/office/drawing/2014/chart" uri="{C3380CC4-5D6E-409C-BE32-E72D297353CC}">
                  <c16:uniqueId val="{00000041-7740-4415-9627-9C12DDE10164}"/>
                </c:ext>
              </c:extLst>
            </c:dLbl>
            <c:dLbl>
              <c:idx val="17"/>
              <c:delete val="1"/>
              <c:extLst>
                <c:ext xmlns:c15="http://schemas.microsoft.com/office/drawing/2012/chart" uri="{CE6537A1-D6FC-4f65-9D91-7224C49458BB}"/>
                <c:ext xmlns:c16="http://schemas.microsoft.com/office/drawing/2014/chart" uri="{C3380CC4-5D6E-409C-BE32-E72D297353CC}">
                  <c16:uniqueId val="{0000003E-7740-4415-9627-9C12DDE10164}"/>
                </c:ext>
              </c:extLst>
            </c:dLbl>
            <c:dLbl>
              <c:idx val="18"/>
              <c:delete val="1"/>
              <c:extLst>
                <c:ext xmlns:c15="http://schemas.microsoft.com/office/drawing/2012/chart" uri="{CE6537A1-D6FC-4f65-9D91-7224C49458BB}"/>
                <c:ext xmlns:c16="http://schemas.microsoft.com/office/drawing/2014/chart" uri="{C3380CC4-5D6E-409C-BE32-E72D297353CC}">
                  <c16:uniqueId val="{00000042-CFDB-4F60-A168-80379539D038}"/>
                </c:ext>
              </c:extLst>
            </c:dLbl>
            <c:dLbl>
              <c:idx val="19"/>
              <c:delete val="1"/>
              <c:extLst>
                <c:ext xmlns:c15="http://schemas.microsoft.com/office/drawing/2012/chart" uri="{CE6537A1-D6FC-4f65-9D91-7224C49458BB}"/>
                <c:ext xmlns:c16="http://schemas.microsoft.com/office/drawing/2014/chart" uri="{C3380CC4-5D6E-409C-BE32-E72D297353CC}">
                  <c16:uniqueId val="{00000041-CFDB-4F60-A168-80379539D038}"/>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'2.3'!$A$16:$B$68</c15:sqref>
                  </c15:fullRef>
                </c:ext>
              </c:extLst>
              <c:f>'2.3'!$A$48:$B$68</c:f>
              <c:multiLvlStrCache>
                <c:ptCount val="2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lvl>
                <c:lvl>
                  <c:pt idx="0">
                    <c:v>2021</c:v>
                  </c:pt>
                  <c:pt idx="4">
                    <c:v>2022</c:v>
                  </c:pt>
                  <c:pt idx="8">
                    <c:v>2023</c:v>
                  </c:pt>
                  <c:pt idx="12">
                    <c:v>2024</c:v>
                  </c:pt>
                  <c:pt idx="16">
                    <c:v>2025</c:v>
                  </c:pt>
                  <c:pt idx="20">
                    <c:v>2026</c:v>
                  </c:pt>
                </c:lvl>
              </c:multiLvlStrCache>
            </c:multiLvlStrRef>
          </c:cat>
          <c:val>
            <c:numRef>
              <c:extLst>
                <c:ext xmlns:c15="http://schemas.microsoft.com/office/drawing/2012/chart" uri="{02D57815-91ED-43cb-92C2-25804820EDAC}">
                  <c15:fullRef>
                    <c15:sqref>'2.3'!$AA$16:$AA$68</c15:sqref>
                  </c15:fullRef>
                </c:ext>
              </c:extLst>
              <c:f>'2.3'!$AA$48:$AA$68</c:f>
              <c:numCache>
                <c:formatCode>#,##0.00;[Red]#,##0.00</c:formatCode>
                <c:ptCount val="21"/>
                <c:pt idx="0">
                  <c:v>665.94420385873764</c:v>
                </c:pt>
                <c:pt idx="1">
                  <c:v>713.82779903378355</c:v>
                </c:pt>
                <c:pt idx="2">
                  <c:v>796.70400731402538</c:v>
                </c:pt>
                <c:pt idx="3">
                  <c:v>768.65458716021453</c:v>
                </c:pt>
                <c:pt idx="4">
                  <c:v>826.5698316900623</c:v>
                </c:pt>
                <c:pt idx="5">
                  <c:v>787.5940037750072</c:v>
                </c:pt>
                <c:pt idx="6">
                  <c:v>838.76007485355012</c:v>
                </c:pt>
                <c:pt idx="7">
                  <c:v>797.3298029581872</c:v>
                </c:pt>
                <c:pt idx="8">
                  <c:v>851.79801180687002</c:v>
                </c:pt>
                <c:pt idx="9">
                  <c:v>988.50796961012918</c:v>
                </c:pt>
                <c:pt idx="10">
                  <c:v>1020.7205890049942</c:v>
                </c:pt>
                <c:pt idx="11">
                  <c:v>1306.8867299425895</c:v>
                </c:pt>
                <c:pt idx="12">
                  <c:v>1515.8680215564832</c:v>
                </c:pt>
                <c:pt idx="13">
                  <c:v>1561.115112379128</c:v>
                </c:pt>
                <c:pt idx="14">
                  <c:v>1628.4910093405554</c:v>
                </c:pt>
                <c:pt idx="15">
                  <c:v>1826.7441892783111</c:v>
                </c:pt>
                <c:pt idx="16">
                  <c:v>1977.4080594114589</c:v>
                </c:pt>
                <c:pt idx="17">
                  <c:v>2344.6819458404893</c:v>
                </c:pt>
                <c:pt idx="18">
                  <c:v>2539.9803617793946</c:v>
                </c:pt>
                <c:pt idx="19">
                  <c:v>2698.4181456076799</c:v>
                </c:pt>
                <c:pt idx="20">
                  <c:v>2727.9275359775711</c:v>
                </c:pt>
              </c:numCache>
            </c:numRef>
          </c:val>
          <c:extLst>
            <c:ext xmlns:c15="http://schemas.microsoft.com/office/drawing/2012/chart" uri="{02D57815-91ED-43cb-92C2-25804820EDAC}">
              <c15:categoryFilterExceptions>
                <c15:categoryFilterException>
                  <c15:sqref>'2.3'!$AA$20</c15:sqref>
                  <c15:dLbl>
                    <c:idx val="-1"/>
                    <c:delete val="1"/>
                    <c:extLst>
                      <c:ext uri="{CE6537A1-D6FC-4f65-9D91-7224C49458BB}"/>
                      <c:ext xmlns:c16="http://schemas.microsoft.com/office/drawing/2014/chart" uri="{C3380CC4-5D6E-409C-BE32-E72D297353CC}">
                        <c16:uniqueId val="{00000018-4555-4E69-B183-1943F458EA25}"/>
                      </c:ext>
                    </c:extLst>
                  </c15:dLbl>
                </c15:categoryFilterException>
                <c15:categoryFilterException>
                  <c15:sqref>'2.3'!$AA$21</c15:sqref>
                  <c15:dLbl>
                    <c:idx val="-1"/>
                    <c:delete val="1"/>
                    <c:extLst>
                      <c:ext uri="{CE6537A1-D6FC-4f65-9D91-7224C49458BB}"/>
                      <c:ext xmlns:c16="http://schemas.microsoft.com/office/drawing/2014/chart" uri="{C3380CC4-5D6E-409C-BE32-E72D297353CC}">
                        <c16:uniqueId val="{00000019-4555-4E69-B183-1943F458EA25}"/>
                      </c:ext>
                    </c:extLst>
                  </c15:dLbl>
                </c15:categoryFilterException>
                <c15:categoryFilterException>
                  <c15:sqref>'2.3'!$AA$22</c15:sqref>
                  <c15:dLbl>
                    <c:idx val="-1"/>
                    <c:delete val="1"/>
                    <c:extLst>
                      <c:ext uri="{CE6537A1-D6FC-4f65-9D91-7224C49458BB}"/>
                      <c:ext xmlns:c16="http://schemas.microsoft.com/office/drawing/2014/chart" uri="{C3380CC4-5D6E-409C-BE32-E72D297353CC}">
                        <c16:uniqueId val="{0000001A-4555-4E69-B183-1943F458EA25}"/>
                      </c:ext>
                    </c:extLst>
                  </c15:dLbl>
                </c15:categoryFilterException>
                <c15:categoryFilterException>
                  <c15:sqref>'2.3'!$AA$23</c15:sqref>
                  <c15:dLbl>
                    <c:idx val="-1"/>
                    <c:delete val="1"/>
                    <c:extLst>
                      <c:ext uri="{CE6537A1-D6FC-4f65-9D91-7224C49458BB}"/>
                      <c:ext xmlns:c16="http://schemas.microsoft.com/office/drawing/2014/chart" uri="{C3380CC4-5D6E-409C-BE32-E72D297353CC}">
                        <c16:uniqueId val="{0000001B-4555-4E69-B183-1943F458EA25}"/>
                      </c:ext>
                    </c:extLst>
                  </c15:dLbl>
                </c15:categoryFilterException>
                <c15:categoryFilterException>
                  <c15:sqref>'2.3'!$AA$24</c15:sqref>
                  <c15:dLbl>
                    <c:idx val="-1"/>
                    <c:delete val="1"/>
                    <c:extLst>
                      <c:ext uri="{CE6537A1-D6FC-4f65-9D91-7224C49458BB}"/>
                      <c:ext xmlns:c16="http://schemas.microsoft.com/office/drawing/2014/chart" uri="{C3380CC4-5D6E-409C-BE32-E72D297353CC}">
                        <c16:uniqueId val="{0000001C-4555-4E69-B183-1943F458EA25}"/>
                      </c:ext>
                    </c:extLst>
                  </c15:dLbl>
                </c15:categoryFilterException>
                <c15:categoryFilterException>
                  <c15:sqref>'2.3'!$AA$25</c15:sqref>
                  <c15:dLbl>
                    <c:idx val="-1"/>
                    <c:delete val="1"/>
                    <c:extLst>
                      <c:ext uri="{CE6537A1-D6FC-4f65-9D91-7224C49458BB}"/>
                      <c:ext xmlns:c16="http://schemas.microsoft.com/office/drawing/2014/chart" uri="{C3380CC4-5D6E-409C-BE32-E72D297353CC}">
                        <c16:uniqueId val="{0000001D-4555-4E69-B183-1943F458EA25}"/>
                      </c:ext>
                    </c:extLst>
                  </c15:dLbl>
                </c15:categoryFilterException>
                <c15:categoryFilterException>
                  <c15:sqref>'2.3'!$AA$26</c15:sqref>
                  <c15:dLbl>
                    <c:idx val="-1"/>
                    <c:delete val="1"/>
                    <c:extLst>
                      <c:ext uri="{CE6537A1-D6FC-4f65-9D91-7224C49458BB}"/>
                      <c:ext xmlns:c16="http://schemas.microsoft.com/office/drawing/2014/chart" uri="{C3380CC4-5D6E-409C-BE32-E72D297353CC}">
                        <c16:uniqueId val="{0000001E-4555-4E69-B183-1943F458EA25}"/>
                      </c:ext>
                    </c:extLst>
                  </c15:dLbl>
                </c15:categoryFilterException>
                <c15:categoryFilterException>
                  <c15:sqref>'2.3'!$AA$27</c15:sqref>
                  <c15:dLbl>
                    <c:idx val="-1"/>
                    <c:delete val="1"/>
                    <c:extLst>
                      <c:ext uri="{CE6537A1-D6FC-4f65-9D91-7224C49458BB}"/>
                      <c:ext xmlns:c16="http://schemas.microsoft.com/office/drawing/2014/chart" uri="{C3380CC4-5D6E-409C-BE32-E72D297353CC}">
                        <c16:uniqueId val="{0000001F-4555-4E69-B183-1943F458EA25}"/>
                      </c:ext>
                    </c:extLst>
                  </c15:dLbl>
                </c15:categoryFilterException>
                <c15:categoryFilterException>
                  <c15:sqref>'2.3'!$AA$28</c15:sqref>
                  <c15:dLbl>
                    <c:idx val="-1"/>
                    <c:delete val="1"/>
                    <c:extLst>
                      <c:ext uri="{CE6537A1-D6FC-4f65-9D91-7224C49458BB}"/>
                      <c:ext xmlns:c16="http://schemas.microsoft.com/office/drawing/2014/chart" uri="{C3380CC4-5D6E-409C-BE32-E72D297353CC}">
                        <c16:uniqueId val="{00000020-4555-4E69-B183-1943F458EA25}"/>
                      </c:ext>
                    </c:extLst>
                  </c15:dLbl>
                </c15:categoryFilterException>
                <c15:categoryFilterException>
                  <c15:sqref>'2.3'!$AA$29</c15:sqref>
                  <c15:dLbl>
                    <c:idx val="-1"/>
                    <c:delete val="1"/>
                    <c:extLst>
                      <c:ext uri="{CE6537A1-D6FC-4f65-9D91-7224C49458BB}"/>
                      <c:ext xmlns:c16="http://schemas.microsoft.com/office/drawing/2014/chart" uri="{C3380CC4-5D6E-409C-BE32-E72D297353CC}">
                        <c16:uniqueId val="{00000021-4555-4E69-B183-1943F458EA25}"/>
                      </c:ext>
                    </c:extLst>
                  </c15:dLbl>
                </c15:categoryFilterException>
                <c15:categoryFilterException>
                  <c15:sqref>'2.3'!$AA$30</c15:sqref>
                  <c15:dLbl>
                    <c:idx val="-1"/>
                    <c:delete val="1"/>
                    <c:extLst>
                      <c:ext uri="{CE6537A1-D6FC-4f65-9D91-7224C49458BB}"/>
                      <c:ext xmlns:c16="http://schemas.microsoft.com/office/drawing/2014/chart" uri="{C3380CC4-5D6E-409C-BE32-E72D297353CC}">
                        <c16:uniqueId val="{00000022-4555-4E69-B183-1943F458EA25}"/>
                      </c:ext>
                    </c:extLst>
                  </c15:dLbl>
                </c15:categoryFilterException>
                <c15:categoryFilterException>
                  <c15:sqref>'2.3'!$AA$31</c15:sqref>
                  <c15:dLbl>
                    <c:idx val="-1"/>
                    <c:delete val="1"/>
                    <c:extLst>
                      <c:ext uri="{CE6537A1-D6FC-4f65-9D91-7224C49458BB}"/>
                      <c:ext xmlns:c16="http://schemas.microsoft.com/office/drawing/2014/chart" uri="{C3380CC4-5D6E-409C-BE32-E72D297353CC}">
                        <c16:uniqueId val="{00000023-4555-4E69-B183-1943F458EA25}"/>
                      </c:ext>
                    </c:extLst>
                  </c15:dLbl>
                </c15:categoryFilterException>
                <c15:categoryFilterException>
                  <c15:sqref>'2.3'!$AA$32</c15:sqref>
                  <c15:dLbl>
                    <c:idx val="-1"/>
                    <c:delete val="1"/>
                    <c:extLst>
                      <c:ext uri="{CE6537A1-D6FC-4f65-9D91-7224C49458BB}"/>
                      <c:ext xmlns:c16="http://schemas.microsoft.com/office/drawing/2014/chart" uri="{C3380CC4-5D6E-409C-BE32-E72D297353CC}">
                        <c16:uniqueId val="{00000024-4555-4E69-B183-1943F458EA25}"/>
                      </c:ext>
                    </c:extLst>
                  </c15:dLbl>
                </c15:categoryFilterException>
                <c15:categoryFilterException>
                  <c15:sqref>'2.3'!$AA$33</c15:sqref>
                  <c15:dLbl>
                    <c:idx val="-1"/>
                    <c:delete val="1"/>
                    <c:extLst>
                      <c:ext uri="{CE6537A1-D6FC-4f65-9D91-7224C49458BB}"/>
                      <c:ext xmlns:c16="http://schemas.microsoft.com/office/drawing/2014/chart" uri="{C3380CC4-5D6E-409C-BE32-E72D297353CC}">
                        <c16:uniqueId val="{00000025-4555-4E69-B183-1943F458EA25}"/>
                      </c:ext>
                    </c:extLst>
                  </c15:dLbl>
                </c15:categoryFilterException>
                <c15:categoryFilterException>
                  <c15:sqref>'2.3'!$AA$34</c15:sqref>
                  <c15:dLbl>
                    <c:idx val="-1"/>
                    <c:delete val="1"/>
                    <c:extLst>
                      <c:ext uri="{CE6537A1-D6FC-4f65-9D91-7224C49458BB}"/>
                      <c:ext xmlns:c16="http://schemas.microsoft.com/office/drawing/2014/chart" uri="{C3380CC4-5D6E-409C-BE32-E72D297353CC}">
                        <c16:uniqueId val="{00000026-4555-4E69-B183-1943F458EA25}"/>
                      </c:ext>
                    </c:extLst>
                  </c15:dLbl>
                </c15:categoryFilterException>
                <c15:categoryFilterException>
                  <c15:sqref>'2.3'!$AA$35</c15:sqref>
                  <c15:dLbl>
                    <c:idx val="-1"/>
                    <c:delete val="1"/>
                    <c:extLst>
                      <c:ext uri="{CE6537A1-D6FC-4f65-9D91-7224C49458BB}"/>
                      <c:ext xmlns:c16="http://schemas.microsoft.com/office/drawing/2014/chart" uri="{C3380CC4-5D6E-409C-BE32-E72D297353CC}">
                        <c16:uniqueId val="{00000027-4555-4E69-B183-1943F458EA25}"/>
                      </c:ext>
                    </c:extLst>
                  </c15:dLbl>
                </c15:categoryFilterException>
                <c15:categoryFilterException>
                  <c15:sqref>'2.3'!$AA$36</c15:sqref>
                  <c15:dLbl>
                    <c:idx val="-1"/>
                    <c:delete val="1"/>
                    <c:extLst>
                      <c:ext uri="{CE6537A1-D6FC-4f65-9D91-7224C49458BB}"/>
                      <c:ext xmlns:c16="http://schemas.microsoft.com/office/drawing/2014/chart" uri="{C3380CC4-5D6E-409C-BE32-E72D297353CC}">
                        <c16:uniqueId val="{00000028-4555-4E69-B183-1943F458EA25}"/>
                      </c:ext>
                    </c:extLst>
                  </c15:dLbl>
                </c15:categoryFilterException>
                <c15:categoryFilterException>
                  <c15:sqref>'2.3'!$AA$37</c15:sqref>
                  <c15:dLbl>
                    <c:idx val="-1"/>
                    <c:delete val="1"/>
                    <c:extLst>
                      <c:ext uri="{CE6537A1-D6FC-4f65-9D91-7224C49458BB}"/>
                      <c:ext xmlns:c16="http://schemas.microsoft.com/office/drawing/2014/chart" uri="{C3380CC4-5D6E-409C-BE32-E72D297353CC}">
                        <c16:uniqueId val="{00000029-4555-4E69-B183-1943F458EA25}"/>
                      </c:ext>
                    </c:extLst>
                  </c15:dLbl>
                </c15:categoryFilterException>
                <c15:categoryFilterException>
                  <c15:sqref>'2.3'!$AA$38</c15:sqref>
                  <c15:dLbl>
                    <c:idx val="-1"/>
                    <c:delete val="1"/>
                    <c:extLst>
                      <c:ext uri="{CE6537A1-D6FC-4f65-9D91-7224C49458BB}"/>
                      <c:ext xmlns:c16="http://schemas.microsoft.com/office/drawing/2014/chart" uri="{C3380CC4-5D6E-409C-BE32-E72D297353CC}">
                        <c16:uniqueId val="{0000002A-4555-4E69-B183-1943F458EA25}"/>
                      </c:ext>
                    </c:extLst>
                  </c15:dLbl>
                </c15:categoryFilterException>
                <c15:categoryFilterException>
                  <c15:sqref>'2.3'!$AA$39</c15:sqref>
                  <c15:dLbl>
                    <c:idx val="-1"/>
                    <c:delete val="1"/>
                    <c:extLst>
                      <c:ext uri="{CE6537A1-D6FC-4f65-9D91-7224C49458BB}"/>
                      <c:ext xmlns:c16="http://schemas.microsoft.com/office/drawing/2014/chart" uri="{C3380CC4-5D6E-409C-BE32-E72D297353CC}">
                        <c16:uniqueId val="{0000002B-4555-4E69-B183-1943F458EA25}"/>
                      </c:ext>
                    </c:extLst>
                  </c15:dLbl>
                </c15:categoryFilterException>
                <c15:categoryFilterException>
                  <c15:sqref>'2.3'!$AA$40</c15:sqref>
                  <c15:dLbl>
                    <c:idx val="-1"/>
                    <c:delete val="1"/>
                    <c:extLst>
                      <c:ext uri="{CE6537A1-D6FC-4f65-9D91-7224C49458BB}"/>
                      <c:ext xmlns:c16="http://schemas.microsoft.com/office/drawing/2014/chart" uri="{C3380CC4-5D6E-409C-BE32-E72D297353CC}">
                        <c16:uniqueId val="{0000002C-4555-4E69-B183-1943F458EA25}"/>
                      </c:ext>
                    </c:extLst>
                  </c15:dLbl>
                </c15:categoryFilterException>
                <c15:categoryFilterException>
                  <c15:sqref>'2.3'!$AA$41</c15:sqref>
                  <c15:dLbl>
                    <c:idx val="-1"/>
                    <c:delete val="1"/>
                    <c:extLst>
                      <c:ext uri="{CE6537A1-D6FC-4f65-9D91-7224C49458BB}"/>
                      <c:ext xmlns:c16="http://schemas.microsoft.com/office/drawing/2014/chart" uri="{C3380CC4-5D6E-409C-BE32-E72D297353CC}">
                        <c16:uniqueId val="{0000002D-4555-4E69-B183-1943F458EA25}"/>
                      </c:ext>
                    </c:extLst>
                  </c15:dLbl>
                </c15:categoryFilterException>
                <c15:categoryFilterException>
                  <c15:sqref>'2.3'!$AA$42</c15:sqref>
                  <c15:dLbl>
                    <c:idx val="-1"/>
                    <c:delete val="1"/>
                    <c:extLst>
                      <c:ext uri="{CE6537A1-D6FC-4f65-9D91-7224C49458BB}"/>
                      <c:ext xmlns:c16="http://schemas.microsoft.com/office/drawing/2014/chart" uri="{C3380CC4-5D6E-409C-BE32-E72D297353CC}">
                        <c16:uniqueId val="{0000002E-4555-4E69-B183-1943F458EA25}"/>
                      </c:ext>
                    </c:extLst>
                  </c15:dLbl>
                </c15:categoryFilterException>
                <c15:categoryFilterException>
                  <c15:sqref>'2.3'!$AA$43</c15:sqref>
                  <c15:dLbl>
                    <c:idx val="-1"/>
                    <c:delete val="1"/>
                    <c:extLst>
                      <c:ext uri="{CE6537A1-D6FC-4f65-9D91-7224C49458BB}"/>
                      <c:ext xmlns:c16="http://schemas.microsoft.com/office/drawing/2014/chart" uri="{C3380CC4-5D6E-409C-BE32-E72D297353CC}">
                        <c16:uniqueId val="{0000002F-4555-4E69-B183-1943F458EA25}"/>
                      </c:ext>
                    </c:extLst>
                  </c15:dLbl>
                </c15:categoryFilterException>
                <c15:categoryFilterException>
                  <c15:sqref>'2.3'!$AA$44</c15:sqref>
                  <c15:dLbl>
                    <c:idx val="-1"/>
                    <c:delete val="1"/>
                    <c:extLst>
                      <c:ext uri="{CE6537A1-D6FC-4f65-9D91-7224C49458BB}"/>
                      <c:ext xmlns:c16="http://schemas.microsoft.com/office/drawing/2014/chart" uri="{C3380CC4-5D6E-409C-BE32-E72D297353CC}">
                        <c16:uniqueId val="{00000030-4555-4E69-B183-1943F458EA25}"/>
                      </c:ext>
                    </c:extLst>
                  </c15:dLbl>
                </c15:categoryFilterException>
                <c15:categoryFilterException>
                  <c15:sqref>'2.3'!$AA$45</c15:sqref>
                  <c15:dLbl>
                    <c:idx val="-1"/>
                    <c:delete val="1"/>
                    <c:extLst>
                      <c:ext uri="{CE6537A1-D6FC-4f65-9D91-7224C49458BB}"/>
                      <c:ext xmlns:c16="http://schemas.microsoft.com/office/drawing/2014/chart" uri="{C3380CC4-5D6E-409C-BE32-E72D297353CC}">
                        <c16:uniqueId val="{00000031-4555-4E69-B183-1943F458EA25}"/>
                      </c:ext>
                    </c:extLst>
                  </c15:dLbl>
                </c15:categoryFilterException>
                <c15:categoryFilterException>
                  <c15:sqref>'2.3'!$AA$46</c15:sqref>
                  <c15:dLbl>
                    <c:idx val="-1"/>
                    <c:delete val="1"/>
                    <c:extLst>
                      <c:ext uri="{CE6537A1-D6FC-4f65-9D91-7224C49458BB}"/>
                      <c:ext xmlns:c16="http://schemas.microsoft.com/office/drawing/2014/chart" uri="{C3380CC4-5D6E-409C-BE32-E72D297353CC}">
                        <c16:uniqueId val="{00000032-4555-4E69-B183-1943F458EA25}"/>
                      </c:ext>
                    </c:extLst>
                  </c15:dLbl>
                </c15:categoryFilterException>
                <c15:categoryFilterException>
                  <c15:sqref>'2.3'!$AA$47</c15:sqref>
                  <c15:dLbl>
                    <c:idx val="-1"/>
                    <c:delete val="1"/>
                    <c:extLst>
                      <c:ext uri="{CE6537A1-D6FC-4f65-9D91-7224C49458BB}"/>
                      <c:ext xmlns:c16="http://schemas.microsoft.com/office/drawing/2014/chart" uri="{C3380CC4-5D6E-409C-BE32-E72D297353CC}">
                        <c16:uniqueId val="{00000033-4555-4E69-B183-1943F458EA25}"/>
                      </c:ext>
                    </c:extLst>
                  </c15:dLbl>
                </c15:categoryFilterException>
              </c15:categoryFilterExceptions>
            </c:ext>
            <c:ext xmlns:c16="http://schemas.microsoft.com/office/drawing/2014/chart" uri="{C3380CC4-5D6E-409C-BE32-E72D297353CC}">
              <c16:uniqueId val="{00000001-9A4E-48B0-A912-6292D3590A5B}"/>
            </c:ext>
          </c:extLst>
        </c:ser>
        <c:ser>
          <c:idx val="3"/>
          <c:order val="2"/>
          <c:tx>
            <c:strRef>
              <c:f>'2.3'!$E$5:$O$5</c:f>
              <c:strCache>
                <c:ptCount val="1"/>
                <c:pt idx="0">
                  <c:v>Household Sector</c:v>
                </c:pt>
              </c:strCache>
            </c:strRef>
          </c:tx>
          <c:spPr>
            <a:solidFill>
              <a:srgbClr val="D4C029"/>
            </a:solidFill>
            <a:ln>
              <a:solidFill>
                <a:srgbClr val="D4C029">
                  <a:alpha val="94000"/>
                </a:srgb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D-881C-430C-AD37-46CFA28A265D}"/>
                </c:ext>
              </c:extLst>
            </c:dLbl>
            <c:dLbl>
              <c:idx val="1"/>
              <c:delete val="1"/>
              <c:extLst>
                <c:ext xmlns:c15="http://schemas.microsoft.com/office/drawing/2012/chart" uri="{CE6537A1-D6FC-4f65-9D91-7224C49458BB}"/>
                <c:ext xmlns:c16="http://schemas.microsoft.com/office/drawing/2014/chart" uri="{C3380CC4-5D6E-409C-BE32-E72D297353CC}">
                  <c16:uniqueId val="{0000001F-C8E2-4D9B-8721-94A700032B38}"/>
                </c:ext>
              </c:extLst>
            </c:dLbl>
            <c:dLbl>
              <c:idx val="2"/>
              <c:delete val="1"/>
              <c:extLst>
                <c:ext xmlns:c15="http://schemas.microsoft.com/office/drawing/2012/chart" uri="{CE6537A1-D6FC-4f65-9D91-7224C49458BB}"/>
                <c:ext xmlns:c16="http://schemas.microsoft.com/office/drawing/2014/chart" uri="{C3380CC4-5D6E-409C-BE32-E72D297353CC}">
                  <c16:uniqueId val="{00000020-C8E2-4D9B-8721-94A700032B38}"/>
                </c:ext>
              </c:extLst>
            </c:dLbl>
            <c:dLbl>
              <c:idx val="3"/>
              <c:delete val="1"/>
              <c:extLst>
                <c:ext xmlns:c15="http://schemas.microsoft.com/office/drawing/2012/chart" uri="{CE6537A1-D6FC-4f65-9D91-7224C49458BB}"/>
                <c:ext xmlns:c16="http://schemas.microsoft.com/office/drawing/2014/chart" uri="{C3380CC4-5D6E-409C-BE32-E72D297353CC}">
                  <c16:uniqueId val="{0000001D-0940-41CB-8AE8-CAC81947EE9A}"/>
                </c:ext>
              </c:extLst>
            </c:dLbl>
            <c:dLbl>
              <c:idx val="4"/>
              <c:delete val="1"/>
              <c:extLst>
                <c:ext xmlns:c15="http://schemas.microsoft.com/office/drawing/2012/chart" uri="{CE6537A1-D6FC-4f65-9D91-7224C49458BB}"/>
                <c:ext xmlns:c16="http://schemas.microsoft.com/office/drawing/2014/chart" uri="{C3380CC4-5D6E-409C-BE32-E72D297353CC}">
                  <c16:uniqueId val="{0000002E-C765-421E-AD2F-8C5241CA80CD}"/>
                </c:ext>
              </c:extLst>
            </c:dLbl>
            <c:dLbl>
              <c:idx val="5"/>
              <c:delete val="1"/>
              <c:extLst>
                <c:ext xmlns:c15="http://schemas.microsoft.com/office/drawing/2012/chart" uri="{CE6537A1-D6FC-4f65-9D91-7224C49458BB}"/>
                <c:ext xmlns:c16="http://schemas.microsoft.com/office/drawing/2014/chart" uri="{C3380CC4-5D6E-409C-BE32-E72D297353CC}">
                  <c16:uniqueId val="{0000002F-C765-421E-AD2F-8C5241CA80CD}"/>
                </c:ext>
              </c:extLst>
            </c:dLbl>
            <c:dLbl>
              <c:idx val="6"/>
              <c:delete val="1"/>
              <c:extLst>
                <c:ext xmlns:c15="http://schemas.microsoft.com/office/drawing/2012/chart" uri="{CE6537A1-D6FC-4f65-9D91-7224C49458BB}"/>
                <c:ext xmlns:c16="http://schemas.microsoft.com/office/drawing/2014/chart" uri="{C3380CC4-5D6E-409C-BE32-E72D297353CC}">
                  <c16:uniqueId val="{0000002D-4A60-43EC-95F5-3019B07077A5}"/>
                </c:ext>
              </c:extLst>
            </c:dLbl>
            <c:dLbl>
              <c:idx val="7"/>
              <c:delete val="1"/>
              <c:extLst>
                <c:ext xmlns:c15="http://schemas.microsoft.com/office/drawing/2012/chart" uri="{CE6537A1-D6FC-4f65-9D91-7224C49458BB}"/>
                <c:ext xmlns:c16="http://schemas.microsoft.com/office/drawing/2014/chart" uri="{C3380CC4-5D6E-409C-BE32-E72D297353CC}">
                  <c16:uniqueId val="{0000002C-754B-4E45-843A-A17FA8BB0EC1}"/>
                </c:ext>
              </c:extLst>
            </c:dLbl>
            <c:dLbl>
              <c:idx val="8"/>
              <c:delete val="1"/>
              <c:extLst>
                <c:ext xmlns:c15="http://schemas.microsoft.com/office/drawing/2012/chart" uri="{CE6537A1-D6FC-4f65-9D91-7224C49458BB}"/>
                <c:ext xmlns:c16="http://schemas.microsoft.com/office/drawing/2014/chart" uri="{C3380CC4-5D6E-409C-BE32-E72D297353CC}">
                  <c16:uniqueId val="{0000002E-F731-47D2-9133-C46429607694}"/>
                </c:ext>
              </c:extLst>
            </c:dLbl>
            <c:dLbl>
              <c:idx val="9"/>
              <c:delete val="1"/>
              <c:extLst>
                <c:ext xmlns:c15="http://schemas.microsoft.com/office/drawing/2012/chart" uri="{CE6537A1-D6FC-4f65-9D91-7224C49458BB}"/>
                <c:ext xmlns:c16="http://schemas.microsoft.com/office/drawing/2014/chart" uri="{C3380CC4-5D6E-409C-BE32-E72D297353CC}">
                  <c16:uniqueId val="{0000003F-C175-477D-86C1-E246CB8B4F83}"/>
                </c:ext>
              </c:extLst>
            </c:dLbl>
            <c:dLbl>
              <c:idx val="10"/>
              <c:delete val="1"/>
              <c:extLst>
                <c:ext xmlns:c15="http://schemas.microsoft.com/office/drawing/2012/chart" uri="{CE6537A1-D6FC-4f65-9D91-7224C49458BB}"/>
                <c:ext xmlns:c16="http://schemas.microsoft.com/office/drawing/2014/chart" uri="{C3380CC4-5D6E-409C-BE32-E72D297353CC}">
                  <c16:uniqueId val="{0000003E-4BD4-46C6-921D-61DCF80C778C}"/>
                </c:ext>
              </c:extLst>
            </c:dLbl>
            <c:dLbl>
              <c:idx val="11"/>
              <c:delete val="1"/>
              <c:extLst>
                <c:ext xmlns:c15="http://schemas.microsoft.com/office/drawing/2012/chart" uri="{CE6537A1-D6FC-4f65-9D91-7224C49458BB}"/>
                <c:ext xmlns:c16="http://schemas.microsoft.com/office/drawing/2014/chart" uri="{C3380CC4-5D6E-409C-BE32-E72D297353CC}">
                  <c16:uniqueId val="{0000003F-2DCF-4220-BC0D-B97A585498FA}"/>
                </c:ext>
              </c:extLst>
            </c:dLbl>
            <c:dLbl>
              <c:idx val="12"/>
              <c:delete val="1"/>
              <c:extLst>
                <c:ext xmlns:c15="http://schemas.microsoft.com/office/drawing/2012/chart" uri="{CE6537A1-D6FC-4f65-9D91-7224C49458BB}"/>
                <c:ext xmlns:c16="http://schemas.microsoft.com/office/drawing/2014/chart" uri="{C3380CC4-5D6E-409C-BE32-E72D297353CC}">
                  <c16:uniqueId val="{0000003E-8AE7-4B87-976B-DCE7EB5E78DE}"/>
                </c:ext>
              </c:extLst>
            </c:dLbl>
            <c:dLbl>
              <c:idx val="13"/>
              <c:delete val="1"/>
              <c:extLst>
                <c:ext xmlns:c15="http://schemas.microsoft.com/office/drawing/2012/chart" uri="{CE6537A1-D6FC-4f65-9D91-7224C49458BB}"/>
                <c:ext xmlns:c16="http://schemas.microsoft.com/office/drawing/2014/chart" uri="{C3380CC4-5D6E-409C-BE32-E72D297353CC}">
                  <c16:uniqueId val="{0000003F-1B0F-4B92-ADE5-9F69DB90D3E7}"/>
                </c:ext>
              </c:extLst>
            </c:dLbl>
            <c:dLbl>
              <c:idx val="14"/>
              <c:delete val="1"/>
              <c:extLst>
                <c:ext xmlns:c15="http://schemas.microsoft.com/office/drawing/2012/chart" uri="{CE6537A1-D6FC-4f65-9D91-7224C49458BB}"/>
                <c:ext xmlns:c16="http://schemas.microsoft.com/office/drawing/2014/chart" uri="{C3380CC4-5D6E-409C-BE32-E72D297353CC}">
                  <c16:uniqueId val="{0000003D-F69C-4D8A-B5E7-D4F0764B6B0D}"/>
                </c:ext>
              </c:extLst>
            </c:dLbl>
            <c:dLbl>
              <c:idx val="15"/>
              <c:delete val="1"/>
              <c:extLst>
                <c:ext xmlns:c15="http://schemas.microsoft.com/office/drawing/2012/chart" uri="{CE6537A1-D6FC-4f65-9D91-7224C49458BB}"/>
                <c:ext xmlns:c16="http://schemas.microsoft.com/office/drawing/2014/chart" uri="{C3380CC4-5D6E-409C-BE32-E72D297353CC}">
                  <c16:uniqueId val="{0000003E-F811-4612-B247-592A91EE64C3}"/>
                </c:ext>
              </c:extLst>
            </c:dLbl>
            <c:dLbl>
              <c:idx val="16"/>
              <c:delete val="1"/>
              <c:extLst>
                <c:ext xmlns:c15="http://schemas.microsoft.com/office/drawing/2012/chart" uri="{CE6537A1-D6FC-4f65-9D91-7224C49458BB}"/>
                <c:ext xmlns:c16="http://schemas.microsoft.com/office/drawing/2014/chart" uri="{C3380CC4-5D6E-409C-BE32-E72D297353CC}">
                  <c16:uniqueId val="{0000003D-7740-4415-9627-9C12DDE10164}"/>
                </c:ext>
              </c:extLst>
            </c:dLbl>
            <c:dLbl>
              <c:idx val="17"/>
              <c:delete val="1"/>
              <c:extLst>
                <c:ext xmlns:c15="http://schemas.microsoft.com/office/drawing/2012/chart" uri="{CE6537A1-D6FC-4f65-9D91-7224C49458BB}"/>
                <c:ext xmlns:c16="http://schemas.microsoft.com/office/drawing/2014/chart" uri="{C3380CC4-5D6E-409C-BE32-E72D297353CC}">
                  <c16:uniqueId val="{0000003C-7740-4415-9627-9C12DDE10164}"/>
                </c:ext>
              </c:extLst>
            </c:dLbl>
            <c:dLbl>
              <c:idx val="18"/>
              <c:delete val="1"/>
              <c:extLst>
                <c:ext xmlns:c15="http://schemas.microsoft.com/office/drawing/2012/chart" uri="{CE6537A1-D6FC-4f65-9D91-7224C49458BB}"/>
                <c:ext xmlns:c16="http://schemas.microsoft.com/office/drawing/2014/chart" uri="{C3380CC4-5D6E-409C-BE32-E72D297353CC}">
                  <c16:uniqueId val="{00000040-CFDB-4F60-A168-80379539D038}"/>
                </c:ext>
              </c:extLst>
            </c:dLbl>
            <c:dLbl>
              <c:idx val="19"/>
              <c:delete val="1"/>
              <c:extLst>
                <c:ext xmlns:c15="http://schemas.microsoft.com/office/drawing/2012/chart" uri="{CE6537A1-D6FC-4f65-9D91-7224C49458BB}"/>
                <c:ext xmlns:c16="http://schemas.microsoft.com/office/drawing/2014/chart" uri="{C3380CC4-5D6E-409C-BE32-E72D297353CC}">
                  <c16:uniqueId val="{0000003F-CFDB-4F60-A168-80379539D038}"/>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'2.3'!$A$16:$B$68</c15:sqref>
                  </c15:fullRef>
                </c:ext>
              </c:extLst>
              <c:f>'2.3'!$A$48:$B$68</c:f>
              <c:multiLvlStrCache>
                <c:ptCount val="2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lvl>
                <c:lvl>
                  <c:pt idx="0">
                    <c:v>2021</c:v>
                  </c:pt>
                  <c:pt idx="4">
                    <c:v>2022</c:v>
                  </c:pt>
                  <c:pt idx="8">
                    <c:v>2023</c:v>
                  </c:pt>
                  <c:pt idx="12">
                    <c:v>2024</c:v>
                  </c:pt>
                  <c:pt idx="16">
                    <c:v>2025</c:v>
                  </c:pt>
                  <c:pt idx="20">
                    <c:v>2026</c:v>
                  </c:pt>
                </c:lvl>
              </c:multiLvlStrCache>
            </c:multiLvlStrRef>
          </c:cat>
          <c:val>
            <c:numRef>
              <c:extLst>
                <c:ext xmlns:c15="http://schemas.microsoft.com/office/drawing/2012/chart" uri="{02D57815-91ED-43cb-92C2-25804820EDAC}">
                  <c15:fullRef>
                    <c15:sqref>'2.3'!$E$16:$E$68</c15:sqref>
                  </c15:fullRef>
                </c:ext>
              </c:extLst>
              <c:f>'2.3'!$E$48:$E$68</c:f>
              <c:numCache>
                <c:formatCode>#,##0.00;[Red]#,##0.00</c:formatCode>
                <c:ptCount val="21"/>
                <c:pt idx="0">
                  <c:v>2818.3772642437852</c:v>
                </c:pt>
                <c:pt idx="1">
                  <c:v>2825.636524042834</c:v>
                </c:pt>
                <c:pt idx="2">
                  <c:v>2798.0810440115802</c:v>
                </c:pt>
                <c:pt idx="3">
                  <c:v>2774.8645072136096</c:v>
                </c:pt>
                <c:pt idx="4">
                  <c:v>2773.3276925014861</c:v>
                </c:pt>
                <c:pt idx="5">
                  <c:v>2782.313991581927</c:v>
                </c:pt>
                <c:pt idx="6">
                  <c:v>2798.441209036474</c:v>
                </c:pt>
                <c:pt idx="7">
                  <c:v>2811.4973259814628</c:v>
                </c:pt>
                <c:pt idx="8">
                  <c:v>2827.5933088724137</c:v>
                </c:pt>
                <c:pt idx="9">
                  <c:v>2846.466485085889</c:v>
                </c:pt>
                <c:pt idx="10">
                  <c:v>2895.7521004112086</c:v>
                </c:pt>
                <c:pt idx="11">
                  <c:v>2927.067387817347</c:v>
                </c:pt>
                <c:pt idx="12">
                  <c:v>2924.8986296081989</c:v>
                </c:pt>
                <c:pt idx="13">
                  <c:v>2970.575129387254</c:v>
                </c:pt>
                <c:pt idx="14">
                  <c:v>3010.8329087055454</c:v>
                </c:pt>
                <c:pt idx="15">
                  <c:v>3027.1553505600023</c:v>
                </c:pt>
                <c:pt idx="16">
                  <c:v>2999.5304966390431</c:v>
                </c:pt>
                <c:pt idx="17">
                  <c:v>3022.0583633230681</c:v>
                </c:pt>
                <c:pt idx="18">
                  <c:v>3012.8295936560935</c:v>
                </c:pt>
                <c:pt idx="19">
                  <c:v>3031.4718579210985</c:v>
                </c:pt>
                <c:pt idx="20">
                  <c:v>3038.6951710895464</c:v>
                </c:pt>
              </c:numCache>
            </c:numRef>
          </c:val>
          <c:extLst>
            <c:ext xmlns:c15="http://schemas.microsoft.com/office/drawing/2012/chart" uri="{02D57815-91ED-43cb-92C2-25804820EDAC}">
              <c15:categoryFilterExceptions>
                <c15:categoryFilterException>
                  <c15:sqref>'2.3'!$E$20</c15:sqref>
                  <c15:dLbl>
                    <c:idx val="-1"/>
                    <c:delete val="1"/>
                    <c:extLst>
                      <c:ext uri="{CE6537A1-D6FC-4f65-9D91-7224C49458BB}"/>
                      <c:ext xmlns:c16="http://schemas.microsoft.com/office/drawing/2014/chart" uri="{C3380CC4-5D6E-409C-BE32-E72D297353CC}">
                        <c16:uniqueId val="{00000034-4555-4E69-B183-1943F458EA25}"/>
                      </c:ext>
                    </c:extLst>
                  </c15:dLbl>
                </c15:categoryFilterException>
                <c15:categoryFilterException>
                  <c15:sqref>'2.3'!$E$21</c15:sqref>
                  <c15:dLbl>
                    <c:idx val="-1"/>
                    <c:delete val="1"/>
                    <c:extLst>
                      <c:ext uri="{CE6537A1-D6FC-4f65-9D91-7224C49458BB}"/>
                      <c:ext xmlns:c16="http://schemas.microsoft.com/office/drawing/2014/chart" uri="{C3380CC4-5D6E-409C-BE32-E72D297353CC}">
                        <c16:uniqueId val="{00000035-4555-4E69-B183-1943F458EA25}"/>
                      </c:ext>
                    </c:extLst>
                  </c15:dLbl>
                </c15:categoryFilterException>
                <c15:categoryFilterException>
                  <c15:sqref>'2.3'!$E$22</c15:sqref>
                  <c15:dLbl>
                    <c:idx val="-1"/>
                    <c:delete val="1"/>
                    <c:extLst>
                      <c:ext uri="{CE6537A1-D6FC-4f65-9D91-7224C49458BB}"/>
                      <c:ext xmlns:c16="http://schemas.microsoft.com/office/drawing/2014/chart" uri="{C3380CC4-5D6E-409C-BE32-E72D297353CC}">
                        <c16:uniqueId val="{00000036-4555-4E69-B183-1943F458EA25}"/>
                      </c:ext>
                    </c:extLst>
                  </c15:dLbl>
                </c15:categoryFilterException>
                <c15:categoryFilterException>
                  <c15:sqref>'2.3'!$E$23</c15:sqref>
                  <c15:dLbl>
                    <c:idx val="-1"/>
                    <c:delete val="1"/>
                    <c:extLst>
                      <c:ext uri="{CE6537A1-D6FC-4f65-9D91-7224C49458BB}"/>
                      <c:ext xmlns:c16="http://schemas.microsoft.com/office/drawing/2014/chart" uri="{C3380CC4-5D6E-409C-BE32-E72D297353CC}">
                        <c16:uniqueId val="{00000037-4555-4E69-B183-1943F458EA25}"/>
                      </c:ext>
                    </c:extLst>
                  </c15:dLbl>
                </c15:categoryFilterException>
                <c15:categoryFilterException>
                  <c15:sqref>'2.3'!$E$24</c15:sqref>
                  <c15:dLbl>
                    <c:idx val="-1"/>
                    <c:delete val="1"/>
                    <c:extLst>
                      <c:ext uri="{CE6537A1-D6FC-4f65-9D91-7224C49458BB}"/>
                      <c:ext xmlns:c16="http://schemas.microsoft.com/office/drawing/2014/chart" uri="{C3380CC4-5D6E-409C-BE32-E72D297353CC}">
                        <c16:uniqueId val="{00000038-4555-4E69-B183-1943F458EA25}"/>
                      </c:ext>
                    </c:extLst>
                  </c15:dLbl>
                </c15:categoryFilterException>
                <c15:categoryFilterException>
                  <c15:sqref>'2.3'!$E$25</c15:sqref>
                  <c15:dLbl>
                    <c:idx val="-1"/>
                    <c:delete val="1"/>
                    <c:extLst>
                      <c:ext uri="{CE6537A1-D6FC-4f65-9D91-7224C49458BB}"/>
                      <c:ext xmlns:c16="http://schemas.microsoft.com/office/drawing/2014/chart" uri="{C3380CC4-5D6E-409C-BE32-E72D297353CC}">
                        <c16:uniqueId val="{00000039-4555-4E69-B183-1943F458EA25}"/>
                      </c:ext>
                    </c:extLst>
                  </c15:dLbl>
                </c15:categoryFilterException>
                <c15:categoryFilterException>
                  <c15:sqref>'2.3'!$E$26</c15:sqref>
                  <c15:dLbl>
                    <c:idx val="-1"/>
                    <c:delete val="1"/>
                    <c:extLst>
                      <c:ext uri="{CE6537A1-D6FC-4f65-9D91-7224C49458BB}"/>
                      <c:ext xmlns:c16="http://schemas.microsoft.com/office/drawing/2014/chart" uri="{C3380CC4-5D6E-409C-BE32-E72D297353CC}">
                        <c16:uniqueId val="{0000003A-4555-4E69-B183-1943F458EA25}"/>
                      </c:ext>
                    </c:extLst>
                  </c15:dLbl>
                </c15:categoryFilterException>
                <c15:categoryFilterException>
                  <c15:sqref>'2.3'!$E$27</c15:sqref>
                  <c15:dLbl>
                    <c:idx val="-1"/>
                    <c:delete val="1"/>
                    <c:extLst>
                      <c:ext uri="{CE6537A1-D6FC-4f65-9D91-7224C49458BB}"/>
                      <c:ext xmlns:c16="http://schemas.microsoft.com/office/drawing/2014/chart" uri="{C3380CC4-5D6E-409C-BE32-E72D297353CC}">
                        <c16:uniqueId val="{0000003B-4555-4E69-B183-1943F458EA25}"/>
                      </c:ext>
                    </c:extLst>
                  </c15:dLbl>
                </c15:categoryFilterException>
                <c15:categoryFilterException>
                  <c15:sqref>'2.3'!$E$28</c15:sqref>
                  <c15:dLbl>
                    <c:idx val="-1"/>
                    <c:delete val="1"/>
                    <c:extLst>
                      <c:ext uri="{CE6537A1-D6FC-4f65-9D91-7224C49458BB}"/>
                      <c:ext xmlns:c16="http://schemas.microsoft.com/office/drawing/2014/chart" uri="{C3380CC4-5D6E-409C-BE32-E72D297353CC}">
                        <c16:uniqueId val="{0000003C-4555-4E69-B183-1943F458EA25}"/>
                      </c:ext>
                    </c:extLst>
                  </c15:dLbl>
                </c15:categoryFilterException>
                <c15:categoryFilterException>
                  <c15:sqref>'2.3'!$E$29</c15:sqref>
                  <c15:dLbl>
                    <c:idx val="-1"/>
                    <c:delete val="1"/>
                    <c:extLst>
                      <c:ext uri="{CE6537A1-D6FC-4f65-9D91-7224C49458BB}"/>
                      <c:ext xmlns:c16="http://schemas.microsoft.com/office/drawing/2014/chart" uri="{C3380CC4-5D6E-409C-BE32-E72D297353CC}">
                        <c16:uniqueId val="{0000003D-4555-4E69-B183-1943F458EA25}"/>
                      </c:ext>
                    </c:extLst>
                  </c15:dLbl>
                </c15:categoryFilterException>
                <c15:categoryFilterException>
                  <c15:sqref>'2.3'!$E$30</c15:sqref>
                  <c15:dLbl>
                    <c:idx val="-1"/>
                    <c:delete val="1"/>
                    <c:extLst>
                      <c:ext uri="{CE6537A1-D6FC-4f65-9D91-7224C49458BB}"/>
                      <c:ext xmlns:c16="http://schemas.microsoft.com/office/drawing/2014/chart" uri="{C3380CC4-5D6E-409C-BE32-E72D297353CC}">
                        <c16:uniqueId val="{0000003E-4555-4E69-B183-1943F458EA25}"/>
                      </c:ext>
                    </c:extLst>
                  </c15:dLbl>
                </c15:categoryFilterException>
                <c15:categoryFilterException>
                  <c15:sqref>'2.3'!$E$31</c15:sqref>
                  <c15:dLbl>
                    <c:idx val="-1"/>
                    <c:delete val="1"/>
                    <c:extLst>
                      <c:ext uri="{CE6537A1-D6FC-4f65-9D91-7224C49458BB}"/>
                      <c:ext xmlns:c16="http://schemas.microsoft.com/office/drawing/2014/chart" uri="{C3380CC4-5D6E-409C-BE32-E72D297353CC}">
                        <c16:uniqueId val="{0000003F-4555-4E69-B183-1943F458EA25}"/>
                      </c:ext>
                    </c:extLst>
                  </c15:dLbl>
                </c15:categoryFilterException>
                <c15:categoryFilterException>
                  <c15:sqref>'2.3'!$E$32</c15:sqref>
                  <c15:dLbl>
                    <c:idx val="-1"/>
                    <c:delete val="1"/>
                    <c:extLst>
                      <c:ext uri="{CE6537A1-D6FC-4f65-9D91-7224C49458BB}"/>
                      <c:ext xmlns:c16="http://schemas.microsoft.com/office/drawing/2014/chart" uri="{C3380CC4-5D6E-409C-BE32-E72D297353CC}">
                        <c16:uniqueId val="{00000040-4555-4E69-B183-1943F458EA25}"/>
                      </c:ext>
                    </c:extLst>
                  </c15:dLbl>
                </c15:categoryFilterException>
                <c15:categoryFilterException>
                  <c15:sqref>'2.3'!$E$33</c15:sqref>
                  <c15:dLbl>
                    <c:idx val="-1"/>
                    <c:delete val="1"/>
                    <c:extLst>
                      <c:ext uri="{CE6537A1-D6FC-4f65-9D91-7224C49458BB}"/>
                      <c:ext xmlns:c16="http://schemas.microsoft.com/office/drawing/2014/chart" uri="{C3380CC4-5D6E-409C-BE32-E72D297353CC}">
                        <c16:uniqueId val="{00000041-4555-4E69-B183-1943F458EA25}"/>
                      </c:ext>
                    </c:extLst>
                  </c15:dLbl>
                </c15:categoryFilterException>
                <c15:categoryFilterException>
                  <c15:sqref>'2.3'!$E$34</c15:sqref>
                  <c15:dLbl>
                    <c:idx val="-1"/>
                    <c:delete val="1"/>
                    <c:extLst>
                      <c:ext uri="{CE6537A1-D6FC-4f65-9D91-7224C49458BB}"/>
                      <c:ext xmlns:c16="http://schemas.microsoft.com/office/drawing/2014/chart" uri="{C3380CC4-5D6E-409C-BE32-E72D297353CC}">
                        <c16:uniqueId val="{00000042-4555-4E69-B183-1943F458EA25}"/>
                      </c:ext>
                    </c:extLst>
                  </c15:dLbl>
                </c15:categoryFilterException>
                <c15:categoryFilterException>
                  <c15:sqref>'2.3'!$E$35</c15:sqref>
                  <c15:dLbl>
                    <c:idx val="-1"/>
                    <c:delete val="1"/>
                    <c:extLst>
                      <c:ext uri="{CE6537A1-D6FC-4f65-9D91-7224C49458BB}"/>
                      <c:ext xmlns:c16="http://schemas.microsoft.com/office/drawing/2014/chart" uri="{C3380CC4-5D6E-409C-BE32-E72D297353CC}">
                        <c16:uniqueId val="{00000043-4555-4E69-B183-1943F458EA25}"/>
                      </c:ext>
                    </c:extLst>
                  </c15:dLbl>
                </c15:categoryFilterException>
                <c15:categoryFilterException>
                  <c15:sqref>'2.3'!$E$36</c15:sqref>
                  <c15:dLbl>
                    <c:idx val="-1"/>
                    <c:delete val="1"/>
                    <c:extLst>
                      <c:ext uri="{CE6537A1-D6FC-4f65-9D91-7224C49458BB}"/>
                      <c:ext xmlns:c16="http://schemas.microsoft.com/office/drawing/2014/chart" uri="{C3380CC4-5D6E-409C-BE32-E72D297353CC}">
                        <c16:uniqueId val="{00000044-4555-4E69-B183-1943F458EA25}"/>
                      </c:ext>
                    </c:extLst>
                  </c15:dLbl>
                </c15:categoryFilterException>
                <c15:categoryFilterException>
                  <c15:sqref>'2.3'!$E$37</c15:sqref>
                  <c15:dLbl>
                    <c:idx val="-1"/>
                    <c:delete val="1"/>
                    <c:extLst>
                      <c:ext uri="{CE6537A1-D6FC-4f65-9D91-7224C49458BB}"/>
                      <c:ext xmlns:c16="http://schemas.microsoft.com/office/drawing/2014/chart" uri="{C3380CC4-5D6E-409C-BE32-E72D297353CC}">
                        <c16:uniqueId val="{00000045-4555-4E69-B183-1943F458EA25}"/>
                      </c:ext>
                    </c:extLst>
                  </c15:dLbl>
                </c15:categoryFilterException>
                <c15:categoryFilterException>
                  <c15:sqref>'2.3'!$E$38</c15:sqref>
                  <c15:dLbl>
                    <c:idx val="-1"/>
                    <c:delete val="1"/>
                    <c:extLst>
                      <c:ext uri="{CE6537A1-D6FC-4f65-9D91-7224C49458BB}"/>
                      <c:ext xmlns:c16="http://schemas.microsoft.com/office/drawing/2014/chart" uri="{C3380CC4-5D6E-409C-BE32-E72D297353CC}">
                        <c16:uniqueId val="{00000046-4555-4E69-B183-1943F458EA25}"/>
                      </c:ext>
                    </c:extLst>
                  </c15:dLbl>
                </c15:categoryFilterException>
                <c15:categoryFilterException>
                  <c15:sqref>'2.3'!$E$39</c15:sqref>
                  <c15:dLbl>
                    <c:idx val="-1"/>
                    <c:delete val="1"/>
                    <c:extLst>
                      <c:ext uri="{CE6537A1-D6FC-4f65-9D91-7224C49458BB}"/>
                      <c:ext xmlns:c16="http://schemas.microsoft.com/office/drawing/2014/chart" uri="{C3380CC4-5D6E-409C-BE32-E72D297353CC}">
                        <c16:uniqueId val="{00000047-4555-4E69-B183-1943F458EA25}"/>
                      </c:ext>
                    </c:extLst>
                  </c15:dLbl>
                </c15:categoryFilterException>
                <c15:categoryFilterException>
                  <c15:sqref>'2.3'!$E$40</c15:sqref>
                  <c15:dLbl>
                    <c:idx val="-1"/>
                    <c:delete val="1"/>
                    <c:extLst>
                      <c:ext uri="{CE6537A1-D6FC-4f65-9D91-7224C49458BB}"/>
                      <c:ext xmlns:c16="http://schemas.microsoft.com/office/drawing/2014/chart" uri="{C3380CC4-5D6E-409C-BE32-E72D297353CC}">
                        <c16:uniqueId val="{00000048-4555-4E69-B183-1943F458EA25}"/>
                      </c:ext>
                    </c:extLst>
                  </c15:dLbl>
                </c15:categoryFilterException>
                <c15:categoryFilterException>
                  <c15:sqref>'2.3'!$E$41</c15:sqref>
                  <c15:dLbl>
                    <c:idx val="-1"/>
                    <c:delete val="1"/>
                    <c:extLst>
                      <c:ext uri="{CE6537A1-D6FC-4f65-9D91-7224C49458BB}"/>
                      <c:ext xmlns:c16="http://schemas.microsoft.com/office/drawing/2014/chart" uri="{C3380CC4-5D6E-409C-BE32-E72D297353CC}">
                        <c16:uniqueId val="{00000049-4555-4E69-B183-1943F458EA25}"/>
                      </c:ext>
                    </c:extLst>
                  </c15:dLbl>
                </c15:categoryFilterException>
                <c15:categoryFilterException>
                  <c15:sqref>'2.3'!$E$42</c15:sqref>
                  <c15:dLbl>
                    <c:idx val="-1"/>
                    <c:delete val="1"/>
                    <c:extLst>
                      <c:ext uri="{CE6537A1-D6FC-4f65-9D91-7224C49458BB}"/>
                      <c:ext xmlns:c16="http://schemas.microsoft.com/office/drawing/2014/chart" uri="{C3380CC4-5D6E-409C-BE32-E72D297353CC}">
                        <c16:uniqueId val="{0000004A-4555-4E69-B183-1943F458EA25}"/>
                      </c:ext>
                    </c:extLst>
                  </c15:dLbl>
                </c15:categoryFilterException>
                <c15:categoryFilterException>
                  <c15:sqref>'2.3'!$E$43</c15:sqref>
                  <c15:dLbl>
                    <c:idx val="-1"/>
                    <c:delete val="1"/>
                    <c:extLst>
                      <c:ext uri="{CE6537A1-D6FC-4f65-9D91-7224C49458BB}"/>
                      <c:ext xmlns:c16="http://schemas.microsoft.com/office/drawing/2014/chart" uri="{C3380CC4-5D6E-409C-BE32-E72D297353CC}">
                        <c16:uniqueId val="{0000004B-4555-4E69-B183-1943F458EA25}"/>
                      </c:ext>
                    </c:extLst>
                  </c15:dLbl>
                </c15:categoryFilterException>
                <c15:categoryFilterException>
                  <c15:sqref>'2.3'!$E$44</c15:sqref>
                  <c15:dLbl>
                    <c:idx val="-1"/>
                    <c:delete val="1"/>
                    <c:extLst>
                      <c:ext uri="{CE6537A1-D6FC-4f65-9D91-7224C49458BB}"/>
                      <c:ext xmlns:c16="http://schemas.microsoft.com/office/drawing/2014/chart" uri="{C3380CC4-5D6E-409C-BE32-E72D297353CC}">
                        <c16:uniqueId val="{0000004C-4555-4E69-B183-1943F458EA25}"/>
                      </c:ext>
                    </c:extLst>
                  </c15:dLbl>
                </c15:categoryFilterException>
                <c15:categoryFilterException>
                  <c15:sqref>'2.3'!$E$45</c15:sqref>
                  <c15:dLbl>
                    <c:idx val="-1"/>
                    <c:delete val="1"/>
                    <c:extLst>
                      <c:ext uri="{CE6537A1-D6FC-4f65-9D91-7224C49458BB}"/>
                      <c:ext xmlns:c16="http://schemas.microsoft.com/office/drawing/2014/chart" uri="{C3380CC4-5D6E-409C-BE32-E72D297353CC}">
                        <c16:uniqueId val="{0000004D-4555-4E69-B183-1943F458EA25}"/>
                      </c:ext>
                    </c:extLst>
                  </c15:dLbl>
                </c15:categoryFilterException>
                <c15:categoryFilterException>
                  <c15:sqref>'2.3'!$E$46</c15:sqref>
                  <c15:dLbl>
                    <c:idx val="-1"/>
                    <c:delete val="1"/>
                    <c:extLst>
                      <c:ext uri="{CE6537A1-D6FC-4f65-9D91-7224C49458BB}"/>
                      <c:ext xmlns:c16="http://schemas.microsoft.com/office/drawing/2014/chart" uri="{C3380CC4-5D6E-409C-BE32-E72D297353CC}">
                        <c16:uniqueId val="{0000004E-4555-4E69-B183-1943F458EA25}"/>
                      </c:ext>
                    </c:extLst>
                  </c15:dLbl>
                </c15:categoryFilterException>
                <c15:categoryFilterException>
                  <c15:sqref>'2.3'!$E$47</c15:sqref>
                  <c15:dLbl>
                    <c:idx val="-1"/>
                    <c:delete val="1"/>
                    <c:extLst>
                      <c:ext uri="{CE6537A1-D6FC-4f65-9D91-7224C49458BB}"/>
                      <c:ext xmlns:c16="http://schemas.microsoft.com/office/drawing/2014/chart" uri="{C3380CC4-5D6E-409C-BE32-E72D297353CC}">
                        <c16:uniqueId val="{0000004F-4555-4E69-B183-1943F458EA25}"/>
                      </c:ext>
                    </c:extLst>
                  </c15:dLbl>
                </c15:categoryFilterException>
              </c15:categoryFilterExceptions>
            </c:ext>
            <c:ext xmlns:c16="http://schemas.microsoft.com/office/drawing/2014/chart" uri="{C3380CC4-5D6E-409C-BE32-E72D297353CC}">
              <c16:uniqueId val="{00000003-9A4E-48B0-A912-6292D3590A5B}"/>
            </c:ext>
          </c:extLst>
        </c:ser>
        <c:ser>
          <c:idx val="4"/>
          <c:order val="3"/>
          <c:tx>
            <c:strRef>
              <c:f>'2.3'!$P$5:$Z$5</c:f>
              <c:strCache>
                <c:ptCount val="1"/>
                <c:pt idx="0">
                  <c:v>Non-household Sector</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E-881C-430C-AD37-46CFA28A265D}"/>
                </c:ext>
              </c:extLst>
            </c:dLbl>
            <c:dLbl>
              <c:idx val="1"/>
              <c:delete val="1"/>
              <c:extLst>
                <c:ext xmlns:c15="http://schemas.microsoft.com/office/drawing/2012/chart" uri="{CE6537A1-D6FC-4f65-9D91-7224C49458BB}"/>
                <c:ext xmlns:c16="http://schemas.microsoft.com/office/drawing/2014/chart" uri="{C3380CC4-5D6E-409C-BE32-E72D297353CC}">
                  <c16:uniqueId val="{0000001D-C8E2-4D9B-8721-94A700032B38}"/>
                </c:ext>
              </c:extLst>
            </c:dLbl>
            <c:dLbl>
              <c:idx val="2"/>
              <c:delete val="1"/>
              <c:extLst>
                <c:ext xmlns:c15="http://schemas.microsoft.com/office/drawing/2012/chart" uri="{CE6537A1-D6FC-4f65-9D91-7224C49458BB}"/>
                <c:ext xmlns:c16="http://schemas.microsoft.com/office/drawing/2014/chart" uri="{C3380CC4-5D6E-409C-BE32-E72D297353CC}">
                  <c16:uniqueId val="{0000001E-C8E2-4D9B-8721-94A700032B38}"/>
                </c:ext>
              </c:extLst>
            </c:dLbl>
            <c:dLbl>
              <c:idx val="3"/>
              <c:delete val="1"/>
              <c:extLst>
                <c:ext xmlns:c15="http://schemas.microsoft.com/office/drawing/2012/chart" uri="{CE6537A1-D6FC-4f65-9D91-7224C49458BB}"/>
                <c:ext xmlns:c16="http://schemas.microsoft.com/office/drawing/2014/chart" uri="{C3380CC4-5D6E-409C-BE32-E72D297353CC}">
                  <c16:uniqueId val="{0000001E-0940-41CB-8AE8-CAC81947EE9A}"/>
                </c:ext>
              </c:extLst>
            </c:dLbl>
            <c:dLbl>
              <c:idx val="4"/>
              <c:delete val="1"/>
              <c:extLst>
                <c:ext xmlns:c15="http://schemas.microsoft.com/office/drawing/2012/chart" uri="{CE6537A1-D6FC-4f65-9D91-7224C49458BB}"/>
                <c:ext xmlns:c16="http://schemas.microsoft.com/office/drawing/2014/chart" uri="{C3380CC4-5D6E-409C-BE32-E72D297353CC}">
                  <c16:uniqueId val="{00000031-C765-421E-AD2F-8C5241CA80CD}"/>
                </c:ext>
              </c:extLst>
            </c:dLbl>
            <c:dLbl>
              <c:idx val="5"/>
              <c:delete val="1"/>
              <c:extLst>
                <c:ext xmlns:c15="http://schemas.microsoft.com/office/drawing/2012/chart" uri="{CE6537A1-D6FC-4f65-9D91-7224C49458BB}"/>
                <c:ext xmlns:c16="http://schemas.microsoft.com/office/drawing/2014/chart" uri="{C3380CC4-5D6E-409C-BE32-E72D297353CC}">
                  <c16:uniqueId val="{00000032-C765-421E-AD2F-8C5241CA80CD}"/>
                </c:ext>
              </c:extLst>
            </c:dLbl>
            <c:dLbl>
              <c:idx val="6"/>
              <c:delete val="1"/>
              <c:extLst>
                <c:ext xmlns:c15="http://schemas.microsoft.com/office/drawing/2012/chart" uri="{CE6537A1-D6FC-4f65-9D91-7224C49458BB}"/>
                <c:ext xmlns:c16="http://schemas.microsoft.com/office/drawing/2014/chart" uri="{C3380CC4-5D6E-409C-BE32-E72D297353CC}">
                  <c16:uniqueId val="{0000002D-1022-46A3-B3B7-D9F977C67946}"/>
                </c:ext>
              </c:extLst>
            </c:dLbl>
            <c:dLbl>
              <c:idx val="7"/>
              <c:delete val="1"/>
              <c:extLst>
                <c:ext xmlns:c15="http://schemas.microsoft.com/office/drawing/2012/chart" uri="{CE6537A1-D6FC-4f65-9D91-7224C49458BB}"/>
                <c:ext xmlns:c16="http://schemas.microsoft.com/office/drawing/2014/chart" uri="{C3380CC4-5D6E-409C-BE32-E72D297353CC}">
                  <c16:uniqueId val="{0000002E-754B-4E45-843A-A17FA8BB0EC1}"/>
                </c:ext>
              </c:extLst>
            </c:dLbl>
            <c:dLbl>
              <c:idx val="8"/>
              <c:delete val="1"/>
              <c:extLst>
                <c:ext xmlns:c15="http://schemas.microsoft.com/office/drawing/2012/chart" uri="{CE6537A1-D6FC-4f65-9D91-7224C49458BB}"/>
                <c:ext xmlns:c16="http://schemas.microsoft.com/office/drawing/2014/chart" uri="{C3380CC4-5D6E-409C-BE32-E72D297353CC}">
                  <c16:uniqueId val="{0000002C-F731-47D2-9133-C46429607694}"/>
                </c:ext>
              </c:extLst>
            </c:dLbl>
            <c:dLbl>
              <c:idx val="9"/>
              <c:delete val="1"/>
              <c:extLst>
                <c:ext xmlns:c15="http://schemas.microsoft.com/office/drawing/2012/chart" uri="{CE6537A1-D6FC-4f65-9D91-7224C49458BB}"/>
                <c:ext xmlns:c16="http://schemas.microsoft.com/office/drawing/2014/chart" uri="{C3380CC4-5D6E-409C-BE32-E72D297353CC}">
                  <c16:uniqueId val="{0000003D-C175-477D-86C1-E246CB8B4F83}"/>
                </c:ext>
              </c:extLst>
            </c:dLbl>
            <c:dLbl>
              <c:idx val="10"/>
              <c:delete val="1"/>
              <c:extLst>
                <c:ext xmlns:c15="http://schemas.microsoft.com/office/drawing/2012/chart" uri="{CE6537A1-D6FC-4f65-9D91-7224C49458BB}"/>
                <c:ext xmlns:c16="http://schemas.microsoft.com/office/drawing/2014/chart" uri="{C3380CC4-5D6E-409C-BE32-E72D297353CC}">
                  <c16:uniqueId val="{0000003E-C175-477D-86C1-E246CB8B4F83}"/>
                </c:ext>
              </c:extLst>
            </c:dLbl>
            <c:dLbl>
              <c:idx val="11"/>
              <c:delete val="1"/>
              <c:extLst>
                <c:ext xmlns:c15="http://schemas.microsoft.com/office/drawing/2012/chart" uri="{CE6537A1-D6FC-4f65-9D91-7224C49458BB}"/>
                <c:ext xmlns:c16="http://schemas.microsoft.com/office/drawing/2014/chart" uri="{C3380CC4-5D6E-409C-BE32-E72D297353CC}">
                  <c16:uniqueId val="{0000003E-2DCF-4220-BC0D-B97A585498FA}"/>
                </c:ext>
              </c:extLst>
            </c:dLbl>
            <c:dLbl>
              <c:idx val="12"/>
              <c:delete val="1"/>
              <c:extLst>
                <c:ext xmlns:c15="http://schemas.microsoft.com/office/drawing/2012/chart" uri="{CE6537A1-D6FC-4f65-9D91-7224C49458BB}"/>
                <c:ext xmlns:c16="http://schemas.microsoft.com/office/drawing/2014/chart" uri="{C3380CC4-5D6E-409C-BE32-E72D297353CC}">
                  <c16:uniqueId val="{0000003D-8AE7-4B87-976B-DCE7EB5E78DE}"/>
                </c:ext>
              </c:extLst>
            </c:dLbl>
            <c:dLbl>
              <c:idx val="13"/>
              <c:delete val="1"/>
              <c:extLst>
                <c:ext xmlns:c15="http://schemas.microsoft.com/office/drawing/2012/chart" uri="{CE6537A1-D6FC-4f65-9D91-7224C49458BB}"/>
                <c:ext xmlns:c16="http://schemas.microsoft.com/office/drawing/2014/chart" uri="{C3380CC4-5D6E-409C-BE32-E72D297353CC}">
                  <c16:uniqueId val="{0000003D-1B0F-4B92-ADE5-9F69DB90D3E7}"/>
                </c:ext>
              </c:extLst>
            </c:dLbl>
            <c:dLbl>
              <c:idx val="14"/>
              <c:delete val="1"/>
              <c:extLst>
                <c:ext xmlns:c15="http://schemas.microsoft.com/office/drawing/2012/chart" uri="{CE6537A1-D6FC-4f65-9D91-7224C49458BB}"/>
                <c:ext xmlns:c16="http://schemas.microsoft.com/office/drawing/2014/chart" uri="{C3380CC4-5D6E-409C-BE32-E72D297353CC}">
                  <c16:uniqueId val="{0000003E-1B0F-4B92-ADE5-9F69DB90D3E7}"/>
                </c:ext>
              </c:extLst>
            </c:dLbl>
            <c:dLbl>
              <c:idx val="15"/>
              <c:delete val="1"/>
              <c:extLst>
                <c:ext xmlns:c15="http://schemas.microsoft.com/office/drawing/2012/chart" uri="{CE6537A1-D6FC-4f65-9D91-7224C49458BB}"/>
                <c:ext xmlns:c16="http://schemas.microsoft.com/office/drawing/2014/chart" uri="{C3380CC4-5D6E-409C-BE32-E72D297353CC}">
                  <c16:uniqueId val="{0000003D-F811-4612-B247-592A91EE64C3}"/>
                </c:ext>
              </c:extLst>
            </c:dLbl>
            <c:dLbl>
              <c:idx val="16"/>
              <c:delete val="1"/>
              <c:extLst>
                <c:ext xmlns:c15="http://schemas.microsoft.com/office/drawing/2012/chart" uri="{CE6537A1-D6FC-4f65-9D91-7224C49458BB}"/>
                <c:ext xmlns:c16="http://schemas.microsoft.com/office/drawing/2014/chart" uri="{C3380CC4-5D6E-409C-BE32-E72D297353CC}">
                  <c16:uniqueId val="{00000042-7740-4415-9627-9C12DDE10164}"/>
                </c:ext>
              </c:extLst>
            </c:dLbl>
            <c:dLbl>
              <c:idx val="17"/>
              <c:delete val="1"/>
              <c:extLst>
                <c:ext xmlns:c15="http://schemas.microsoft.com/office/drawing/2012/chart" uri="{CE6537A1-D6FC-4f65-9D91-7224C49458BB}"/>
                <c:ext xmlns:c16="http://schemas.microsoft.com/office/drawing/2014/chart" uri="{C3380CC4-5D6E-409C-BE32-E72D297353CC}">
                  <c16:uniqueId val="{0000003C-10E6-45C2-9B45-F7EFA7A6249C}"/>
                </c:ext>
              </c:extLst>
            </c:dLbl>
            <c:dLbl>
              <c:idx val="18"/>
              <c:delete val="1"/>
              <c:extLst>
                <c:ext xmlns:c15="http://schemas.microsoft.com/office/drawing/2012/chart" uri="{CE6537A1-D6FC-4f65-9D91-7224C49458BB}"/>
                <c:ext xmlns:c16="http://schemas.microsoft.com/office/drawing/2014/chart" uri="{C3380CC4-5D6E-409C-BE32-E72D297353CC}">
                  <c16:uniqueId val="{0000003E-CFDB-4F60-A168-80379539D038}"/>
                </c:ext>
              </c:extLst>
            </c:dLbl>
            <c:dLbl>
              <c:idx val="19"/>
              <c:delete val="1"/>
              <c:extLst>
                <c:ext xmlns:c15="http://schemas.microsoft.com/office/drawing/2012/chart" uri="{CE6537A1-D6FC-4f65-9D91-7224C49458BB}"/>
                <c:ext xmlns:c16="http://schemas.microsoft.com/office/drawing/2014/chart" uri="{C3380CC4-5D6E-409C-BE32-E72D297353CC}">
                  <c16:uniqueId val="{0000003D-CFDB-4F60-A168-80379539D038}"/>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'2.3'!$A$16:$B$68</c15:sqref>
                  </c15:fullRef>
                </c:ext>
              </c:extLst>
              <c:f>'2.3'!$A$48:$B$68</c:f>
              <c:multiLvlStrCache>
                <c:ptCount val="2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lvl>
                <c:lvl>
                  <c:pt idx="0">
                    <c:v>2021</c:v>
                  </c:pt>
                  <c:pt idx="4">
                    <c:v>2022</c:v>
                  </c:pt>
                  <c:pt idx="8">
                    <c:v>2023</c:v>
                  </c:pt>
                  <c:pt idx="12">
                    <c:v>2024</c:v>
                  </c:pt>
                  <c:pt idx="16">
                    <c:v>2025</c:v>
                  </c:pt>
                  <c:pt idx="20">
                    <c:v>2026</c:v>
                  </c:pt>
                </c:lvl>
              </c:multiLvlStrCache>
            </c:multiLvlStrRef>
          </c:cat>
          <c:val>
            <c:numRef>
              <c:extLst>
                <c:ext xmlns:c15="http://schemas.microsoft.com/office/drawing/2012/chart" uri="{02D57815-91ED-43cb-92C2-25804820EDAC}">
                  <c15:fullRef>
                    <c15:sqref>'2.3'!$P$16:$P$68</c15:sqref>
                  </c15:fullRef>
                </c:ext>
              </c:extLst>
              <c:f>'2.3'!$P$48:$P$68</c:f>
              <c:numCache>
                <c:formatCode>#,##0.00;[Red]#,##0.00</c:formatCode>
                <c:ptCount val="21"/>
                <c:pt idx="0">
                  <c:v>2345.3553435177591</c:v>
                </c:pt>
                <c:pt idx="1">
                  <c:v>2426.1788231118239</c:v>
                </c:pt>
                <c:pt idx="2">
                  <c:v>2382.4102719255575</c:v>
                </c:pt>
                <c:pt idx="3">
                  <c:v>2546.9071080838985</c:v>
                </c:pt>
                <c:pt idx="4">
                  <c:v>2599.4708472769526</c:v>
                </c:pt>
                <c:pt idx="5">
                  <c:v>2707.8475366709963</c:v>
                </c:pt>
                <c:pt idx="6">
                  <c:v>2822.0437601567924</c:v>
                </c:pt>
                <c:pt idx="7">
                  <c:v>2770.860192402929</c:v>
                </c:pt>
                <c:pt idx="8">
                  <c:v>2640.20677400158</c:v>
                </c:pt>
                <c:pt idx="9">
                  <c:v>2806.551542068129</c:v>
                </c:pt>
                <c:pt idx="10">
                  <c:v>2946.0234589055149</c:v>
                </c:pt>
                <c:pt idx="11">
                  <c:v>2868.7368219901859</c:v>
                </c:pt>
                <c:pt idx="12">
                  <c:v>2761.4303918837008</c:v>
                </c:pt>
                <c:pt idx="13">
                  <c:v>2922.4155036738084</c:v>
                </c:pt>
                <c:pt idx="14">
                  <c:v>2804.0259529689397</c:v>
                </c:pt>
                <c:pt idx="15">
                  <c:v>2807.5200320042741</c:v>
                </c:pt>
                <c:pt idx="16">
                  <c:v>2846.5280085916779</c:v>
                </c:pt>
                <c:pt idx="17">
                  <c:v>2715.8851405285068</c:v>
                </c:pt>
                <c:pt idx="18">
                  <c:v>2758.7100301497476</c:v>
                </c:pt>
                <c:pt idx="19">
                  <c:v>2865.7503894465372</c:v>
                </c:pt>
                <c:pt idx="20">
                  <c:v>2937.5857125871121</c:v>
                </c:pt>
              </c:numCache>
            </c:numRef>
          </c:val>
          <c:extLst>
            <c:ext xmlns:c15="http://schemas.microsoft.com/office/drawing/2012/chart" uri="{02D57815-91ED-43cb-92C2-25804820EDAC}">
              <c15:categoryFilterExceptions>
                <c15:categoryFilterException>
                  <c15:sqref>'2.3'!$P$20</c15:sqref>
                  <c15:dLbl>
                    <c:idx val="-1"/>
                    <c:delete val="1"/>
                    <c:extLst>
                      <c:ext uri="{CE6537A1-D6FC-4f65-9D91-7224C49458BB}"/>
                      <c:ext xmlns:c16="http://schemas.microsoft.com/office/drawing/2014/chart" uri="{C3380CC4-5D6E-409C-BE32-E72D297353CC}">
                        <c16:uniqueId val="{00000050-4555-4E69-B183-1943F458EA25}"/>
                      </c:ext>
                    </c:extLst>
                  </c15:dLbl>
                </c15:categoryFilterException>
                <c15:categoryFilterException>
                  <c15:sqref>'2.3'!$P$21</c15:sqref>
                  <c15:dLbl>
                    <c:idx val="-1"/>
                    <c:delete val="1"/>
                    <c:extLst>
                      <c:ext uri="{CE6537A1-D6FC-4f65-9D91-7224C49458BB}"/>
                      <c:ext xmlns:c16="http://schemas.microsoft.com/office/drawing/2014/chart" uri="{C3380CC4-5D6E-409C-BE32-E72D297353CC}">
                        <c16:uniqueId val="{00000051-4555-4E69-B183-1943F458EA25}"/>
                      </c:ext>
                    </c:extLst>
                  </c15:dLbl>
                </c15:categoryFilterException>
                <c15:categoryFilterException>
                  <c15:sqref>'2.3'!$P$22</c15:sqref>
                  <c15:dLbl>
                    <c:idx val="-1"/>
                    <c:delete val="1"/>
                    <c:extLst>
                      <c:ext uri="{CE6537A1-D6FC-4f65-9D91-7224C49458BB}"/>
                      <c:ext xmlns:c16="http://schemas.microsoft.com/office/drawing/2014/chart" uri="{C3380CC4-5D6E-409C-BE32-E72D297353CC}">
                        <c16:uniqueId val="{00000052-4555-4E69-B183-1943F458EA25}"/>
                      </c:ext>
                    </c:extLst>
                  </c15:dLbl>
                </c15:categoryFilterException>
                <c15:categoryFilterException>
                  <c15:sqref>'2.3'!$P$23</c15:sqref>
                  <c15:dLbl>
                    <c:idx val="-1"/>
                    <c:delete val="1"/>
                    <c:extLst>
                      <c:ext uri="{CE6537A1-D6FC-4f65-9D91-7224C49458BB}"/>
                      <c:ext xmlns:c16="http://schemas.microsoft.com/office/drawing/2014/chart" uri="{C3380CC4-5D6E-409C-BE32-E72D297353CC}">
                        <c16:uniqueId val="{00000053-4555-4E69-B183-1943F458EA25}"/>
                      </c:ext>
                    </c:extLst>
                  </c15:dLbl>
                </c15:categoryFilterException>
                <c15:categoryFilterException>
                  <c15:sqref>'2.3'!$P$24</c15:sqref>
                  <c15:dLbl>
                    <c:idx val="-1"/>
                    <c:delete val="1"/>
                    <c:extLst>
                      <c:ext uri="{CE6537A1-D6FC-4f65-9D91-7224C49458BB}"/>
                      <c:ext xmlns:c16="http://schemas.microsoft.com/office/drawing/2014/chart" uri="{C3380CC4-5D6E-409C-BE32-E72D297353CC}">
                        <c16:uniqueId val="{00000054-4555-4E69-B183-1943F458EA25}"/>
                      </c:ext>
                    </c:extLst>
                  </c15:dLbl>
                </c15:categoryFilterException>
                <c15:categoryFilterException>
                  <c15:sqref>'2.3'!$P$25</c15:sqref>
                  <c15:dLbl>
                    <c:idx val="-1"/>
                    <c:delete val="1"/>
                    <c:extLst>
                      <c:ext uri="{CE6537A1-D6FC-4f65-9D91-7224C49458BB}"/>
                      <c:ext xmlns:c16="http://schemas.microsoft.com/office/drawing/2014/chart" uri="{C3380CC4-5D6E-409C-BE32-E72D297353CC}">
                        <c16:uniqueId val="{00000055-4555-4E69-B183-1943F458EA25}"/>
                      </c:ext>
                    </c:extLst>
                  </c15:dLbl>
                </c15:categoryFilterException>
                <c15:categoryFilterException>
                  <c15:sqref>'2.3'!$P$26</c15:sqref>
                  <c15:dLbl>
                    <c:idx val="-1"/>
                    <c:delete val="1"/>
                    <c:extLst>
                      <c:ext uri="{CE6537A1-D6FC-4f65-9D91-7224C49458BB}"/>
                      <c:ext xmlns:c16="http://schemas.microsoft.com/office/drawing/2014/chart" uri="{C3380CC4-5D6E-409C-BE32-E72D297353CC}">
                        <c16:uniqueId val="{00000056-4555-4E69-B183-1943F458EA25}"/>
                      </c:ext>
                    </c:extLst>
                  </c15:dLbl>
                </c15:categoryFilterException>
                <c15:categoryFilterException>
                  <c15:sqref>'2.3'!$P$27</c15:sqref>
                  <c15:dLbl>
                    <c:idx val="-1"/>
                    <c:delete val="1"/>
                    <c:extLst>
                      <c:ext uri="{CE6537A1-D6FC-4f65-9D91-7224C49458BB}"/>
                      <c:ext xmlns:c16="http://schemas.microsoft.com/office/drawing/2014/chart" uri="{C3380CC4-5D6E-409C-BE32-E72D297353CC}">
                        <c16:uniqueId val="{00000057-4555-4E69-B183-1943F458EA25}"/>
                      </c:ext>
                    </c:extLst>
                  </c15:dLbl>
                </c15:categoryFilterException>
                <c15:categoryFilterException>
                  <c15:sqref>'2.3'!$P$28</c15:sqref>
                  <c15:dLbl>
                    <c:idx val="-1"/>
                    <c:delete val="1"/>
                    <c:extLst>
                      <c:ext uri="{CE6537A1-D6FC-4f65-9D91-7224C49458BB}"/>
                      <c:ext xmlns:c16="http://schemas.microsoft.com/office/drawing/2014/chart" uri="{C3380CC4-5D6E-409C-BE32-E72D297353CC}">
                        <c16:uniqueId val="{00000058-4555-4E69-B183-1943F458EA25}"/>
                      </c:ext>
                    </c:extLst>
                  </c15:dLbl>
                </c15:categoryFilterException>
                <c15:categoryFilterException>
                  <c15:sqref>'2.3'!$P$29</c15:sqref>
                  <c15:dLbl>
                    <c:idx val="-1"/>
                    <c:delete val="1"/>
                    <c:extLst>
                      <c:ext uri="{CE6537A1-D6FC-4f65-9D91-7224C49458BB}"/>
                      <c:ext xmlns:c16="http://schemas.microsoft.com/office/drawing/2014/chart" uri="{C3380CC4-5D6E-409C-BE32-E72D297353CC}">
                        <c16:uniqueId val="{00000059-4555-4E69-B183-1943F458EA25}"/>
                      </c:ext>
                    </c:extLst>
                  </c15:dLbl>
                </c15:categoryFilterException>
                <c15:categoryFilterException>
                  <c15:sqref>'2.3'!$P$30</c15:sqref>
                  <c15:dLbl>
                    <c:idx val="-1"/>
                    <c:delete val="1"/>
                    <c:extLst>
                      <c:ext uri="{CE6537A1-D6FC-4f65-9D91-7224C49458BB}"/>
                      <c:ext xmlns:c16="http://schemas.microsoft.com/office/drawing/2014/chart" uri="{C3380CC4-5D6E-409C-BE32-E72D297353CC}">
                        <c16:uniqueId val="{0000005A-4555-4E69-B183-1943F458EA25}"/>
                      </c:ext>
                    </c:extLst>
                  </c15:dLbl>
                </c15:categoryFilterException>
                <c15:categoryFilterException>
                  <c15:sqref>'2.3'!$P$31</c15:sqref>
                  <c15:dLbl>
                    <c:idx val="-1"/>
                    <c:delete val="1"/>
                    <c:extLst>
                      <c:ext uri="{CE6537A1-D6FC-4f65-9D91-7224C49458BB}"/>
                      <c:ext xmlns:c16="http://schemas.microsoft.com/office/drawing/2014/chart" uri="{C3380CC4-5D6E-409C-BE32-E72D297353CC}">
                        <c16:uniqueId val="{0000005B-4555-4E69-B183-1943F458EA25}"/>
                      </c:ext>
                    </c:extLst>
                  </c15:dLbl>
                </c15:categoryFilterException>
                <c15:categoryFilterException>
                  <c15:sqref>'2.3'!$P$32</c15:sqref>
                  <c15:dLbl>
                    <c:idx val="-1"/>
                    <c:delete val="1"/>
                    <c:extLst>
                      <c:ext uri="{CE6537A1-D6FC-4f65-9D91-7224C49458BB}"/>
                      <c:ext xmlns:c16="http://schemas.microsoft.com/office/drawing/2014/chart" uri="{C3380CC4-5D6E-409C-BE32-E72D297353CC}">
                        <c16:uniqueId val="{0000005C-4555-4E69-B183-1943F458EA25}"/>
                      </c:ext>
                    </c:extLst>
                  </c15:dLbl>
                </c15:categoryFilterException>
                <c15:categoryFilterException>
                  <c15:sqref>'2.3'!$P$33</c15:sqref>
                  <c15:dLbl>
                    <c:idx val="-1"/>
                    <c:delete val="1"/>
                    <c:extLst>
                      <c:ext uri="{CE6537A1-D6FC-4f65-9D91-7224C49458BB}"/>
                      <c:ext xmlns:c16="http://schemas.microsoft.com/office/drawing/2014/chart" uri="{C3380CC4-5D6E-409C-BE32-E72D297353CC}">
                        <c16:uniqueId val="{0000005D-4555-4E69-B183-1943F458EA25}"/>
                      </c:ext>
                    </c:extLst>
                  </c15:dLbl>
                </c15:categoryFilterException>
                <c15:categoryFilterException>
                  <c15:sqref>'2.3'!$P$34</c15:sqref>
                  <c15:dLbl>
                    <c:idx val="-1"/>
                    <c:delete val="1"/>
                    <c:extLst>
                      <c:ext uri="{CE6537A1-D6FC-4f65-9D91-7224C49458BB}"/>
                      <c:ext xmlns:c16="http://schemas.microsoft.com/office/drawing/2014/chart" uri="{C3380CC4-5D6E-409C-BE32-E72D297353CC}">
                        <c16:uniqueId val="{0000005E-4555-4E69-B183-1943F458EA25}"/>
                      </c:ext>
                    </c:extLst>
                  </c15:dLbl>
                </c15:categoryFilterException>
                <c15:categoryFilterException>
                  <c15:sqref>'2.3'!$P$35</c15:sqref>
                  <c15:dLbl>
                    <c:idx val="-1"/>
                    <c:delete val="1"/>
                    <c:extLst>
                      <c:ext uri="{CE6537A1-D6FC-4f65-9D91-7224C49458BB}"/>
                      <c:ext xmlns:c16="http://schemas.microsoft.com/office/drawing/2014/chart" uri="{C3380CC4-5D6E-409C-BE32-E72D297353CC}">
                        <c16:uniqueId val="{0000005F-4555-4E69-B183-1943F458EA25}"/>
                      </c:ext>
                    </c:extLst>
                  </c15:dLbl>
                </c15:categoryFilterException>
                <c15:categoryFilterException>
                  <c15:sqref>'2.3'!$P$36</c15:sqref>
                  <c15:dLbl>
                    <c:idx val="-1"/>
                    <c:delete val="1"/>
                    <c:extLst>
                      <c:ext uri="{CE6537A1-D6FC-4f65-9D91-7224C49458BB}"/>
                      <c:ext xmlns:c16="http://schemas.microsoft.com/office/drawing/2014/chart" uri="{C3380CC4-5D6E-409C-BE32-E72D297353CC}">
                        <c16:uniqueId val="{00000060-4555-4E69-B183-1943F458EA25}"/>
                      </c:ext>
                    </c:extLst>
                  </c15:dLbl>
                </c15:categoryFilterException>
                <c15:categoryFilterException>
                  <c15:sqref>'2.3'!$P$37</c15:sqref>
                  <c15:dLbl>
                    <c:idx val="-1"/>
                    <c:delete val="1"/>
                    <c:extLst>
                      <c:ext uri="{CE6537A1-D6FC-4f65-9D91-7224C49458BB}"/>
                      <c:ext xmlns:c16="http://schemas.microsoft.com/office/drawing/2014/chart" uri="{C3380CC4-5D6E-409C-BE32-E72D297353CC}">
                        <c16:uniqueId val="{00000061-4555-4E69-B183-1943F458EA25}"/>
                      </c:ext>
                    </c:extLst>
                  </c15:dLbl>
                </c15:categoryFilterException>
                <c15:categoryFilterException>
                  <c15:sqref>'2.3'!$P$38</c15:sqref>
                  <c15:dLbl>
                    <c:idx val="-1"/>
                    <c:delete val="1"/>
                    <c:extLst>
                      <c:ext uri="{CE6537A1-D6FC-4f65-9D91-7224C49458BB}"/>
                      <c:ext xmlns:c16="http://schemas.microsoft.com/office/drawing/2014/chart" uri="{C3380CC4-5D6E-409C-BE32-E72D297353CC}">
                        <c16:uniqueId val="{00000062-4555-4E69-B183-1943F458EA25}"/>
                      </c:ext>
                    </c:extLst>
                  </c15:dLbl>
                </c15:categoryFilterException>
                <c15:categoryFilterException>
                  <c15:sqref>'2.3'!$P$39</c15:sqref>
                  <c15:dLbl>
                    <c:idx val="-1"/>
                    <c:delete val="1"/>
                    <c:extLst>
                      <c:ext uri="{CE6537A1-D6FC-4f65-9D91-7224C49458BB}"/>
                      <c:ext xmlns:c16="http://schemas.microsoft.com/office/drawing/2014/chart" uri="{C3380CC4-5D6E-409C-BE32-E72D297353CC}">
                        <c16:uniqueId val="{00000063-4555-4E69-B183-1943F458EA25}"/>
                      </c:ext>
                    </c:extLst>
                  </c15:dLbl>
                </c15:categoryFilterException>
                <c15:categoryFilterException>
                  <c15:sqref>'2.3'!$P$40</c15:sqref>
                  <c15:dLbl>
                    <c:idx val="-1"/>
                    <c:delete val="1"/>
                    <c:extLst>
                      <c:ext uri="{CE6537A1-D6FC-4f65-9D91-7224C49458BB}"/>
                      <c:ext xmlns:c16="http://schemas.microsoft.com/office/drawing/2014/chart" uri="{C3380CC4-5D6E-409C-BE32-E72D297353CC}">
                        <c16:uniqueId val="{00000064-4555-4E69-B183-1943F458EA25}"/>
                      </c:ext>
                    </c:extLst>
                  </c15:dLbl>
                </c15:categoryFilterException>
                <c15:categoryFilterException>
                  <c15:sqref>'2.3'!$P$41</c15:sqref>
                  <c15:dLbl>
                    <c:idx val="-1"/>
                    <c:delete val="1"/>
                    <c:extLst>
                      <c:ext uri="{CE6537A1-D6FC-4f65-9D91-7224C49458BB}"/>
                      <c:ext xmlns:c16="http://schemas.microsoft.com/office/drawing/2014/chart" uri="{C3380CC4-5D6E-409C-BE32-E72D297353CC}">
                        <c16:uniqueId val="{00000065-4555-4E69-B183-1943F458EA25}"/>
                      </c:ext>
                    </c:extLst>
                  </c15:dLbl>
                </c15:categoryFilterException>
                <c15:categoryFilterException>
                  <c15:sqref>'2.3'!$P$42</c15:sqref>
                  <c15:dLbl>
                    <c:idx val="-1"/>
                    <c:delete val="1"/>
                    <c:extLst>
                      <c:ext uri="{CE6537A1-D6FC-4f65-9D91-7224C49458BB}"/>
                      <c:ext xmlns:c16="http://schemas.microsoft.com/office/drawing/2014/chart" uri="{C3380CC4-5D6E-409C-BE32-E72D297353CC}">
                        <c16:uniqueId val="{00000066-4555-4E69-B183-1943F458EA25}"/>
                      </c:ext>
                    </c:extLst>
                  </c15:dLbl>
                </c15:categoryFilterException>
                <c15:categoryFilterException>
                  <c15:sqref>'2.3'!$P$43</c15:sqref>
                  <c15:dLbl>
                    <c:idx val="-1"/>
                    <c:delete val="1"/>
                    <c:extLst>
                      <c:ext uri="{CE6537A1-D6FC-4f65-9D91-7224C49458BB}"/>
                      <c:ext xmlns:c16="http://schemas.microsoft.com/office/drawing/2014/chart" uri="{C3380CC4-5D6E-409C-BE32-E72D297353CC}">
                        <c16:uniqueId val="{00000067-4555-4E69-B183-1943F458EA25}"/>
                      </c:ext>
                    </c:extLst>
                  </c15:dLbl>
                </c15:categoryFilterException>
                <c15:categoryFilterException>
                  <c15:sqref>'2.3'!$P$44</c15:sqref>
                  <c15:dLbl>
                    <c:idx val="-1"/>
                    <c:delete val="1"/>
                    <c:extLst>
                      <c:ext uri="{CE6537A1-D6FC-4f65-9D91-7224C49458BB}"/>
                      <c:ext xmlns:c16="http://schemas.microsoft.com/office/drawing/2014/chart" uri="{C3380CC4-5D6E-409C-BE32-E72D297353CC}">
                        <c16:uniqueId val="{00000068-4555-4E69-B183-1943F458EA25}"/>
                      </c:ext>
                    </c:extLst>
                  </c15:dLbl>
                </c15:categoryFilterException>
                <c15:categoryFilterException>
                  <c15:sqref>'2.3'!$P$45</c15:sqref>
                  <c15:dLbl>
                    <c:idx val="-1"/>
                    <c:delete val="1"/>
                    <c:extLst>
                      <c:ext uri="{CE6537A1-D6FC-4f65-9D91-7224C49458BB}"/>
                      <c:ext xmlns:c16="http://schemas.microsoft.com/office/drawing/2014/chart" uri="{C3380CC4-5D6E-409C-BE32-E72D297353CC}">
                        <c16:uniqueId val="{00000069-4555-4E69-B183-1943F458EA25}"/>
                      </c:ext>
                    </c:extLst>
                  </c15:dLbl>
                </c15:categoryFilterException>
                <c15:categoryFilterException>
                  <c15:sqref>'2.3'!$P$46</c15:sqref>
                  <c15:dLbl>
                    <c:idx val="-1"/>
                    <c:delete val="1"/>
                    <c:extLst>
                      <c:ext uri="{CE6537A1-D6FC-4f65-9D91-7224C49458BB}"/>
                      <c:ext xmlns:c16="http://schemas.microsoft.com/office/drawing/2014/chart" uri="{C3380CC4-5D6E-409C-BE32-E72D297353CC}">
                        <c16:uniqueId val="{0000006A-4555-4E69-B183-1943F458EA25}"/>
                      </c:ext>
                    </c:extLst>
                  </c15:dLbl>
                </c15:categoryFilterException>
                <c15:categoryFilterException>
                  <c15:sqref>'2.3'!$P$47</c15:sqref>
                  <c15:dLbl>
                    <c:idx val="-1"/>
                    <c:delete val="1"/>
                    <c:extLst>
                      <c:ext uri="{CE6537A1-D6FC-4f65-9D91-7224C49458BB}"/>
                      <c:ext xmlns:c16="http://schemas.microsoft.com/office/drawing/2014/chart" uri="{C3380CC4-5D6E-409C-BE32-E72D297353CC}">
                        <c16:uniqueId val="{0000006B-4555-4E69-B183-1943F458EA25}"/>
                      </c:ext>
                    </c:extLst>
                  </c15:dLbl>
                </c15:categoryFilterException>
              </c15:categoryFilterExceptions>
            </c:ext>
            <c:ext xmlns:c16="http://schemas.microsoft.com/office/drawing/2014/chart" uri="{C3380CC4-5D6E-409C-BE32-E72D297353CC}">
              <c16:uniqueId val="{00000005-9A4E-48B0-A912-6292D3590A5B}"/>
            </c:ext>
          </c:extLst>
        </c:ser>
        <c:dLbls>
          <c:showLegendKey val="0"/>
          <c:showVal val="1"/>
          <c:showCatName val="0"/>
          <c:showSerName val="0"/>
          <c:showPercent val="0"/>
          <c:showBubbleSize val="0"/>
        </c:dLbls>
        <c:gapWidth val="74"/>
        <c:overlap val="100"/>
        <c:axId val="486512032"/>
        <c:axId val="486512424"/>
      </c:barChart>
      <c:lineChart>
        <c:grouping val="standard"/>
        <c:varyColors val="0"/>
        <c:ser>
          <c:idx val="0"/>
          <c:order val="0"/>
          <c:tx>
            <c:strRef>
              <c:f>'2.3'!$C$3:$AA$3</c:f>
              <c:strCache>
                <c:ptCount val="1"/>
                <c:pt idx="0">
                  <c:v>Loans and Advances / Financing</c:v>
                </c:pt>
              </c:strCache>
            </c:strRef>
          </c:tx>
          <c:spPr>
            <a:ln w="22225">
              <a:solidFill>
                <a:schemeClr val="tx1">
                  <a:lumMod val="75000"/>
                  <a:lumOff val="25000"/>
                </a:schemeClr>
              </a:solidFill>
            </a:ln>
          </c:spPr>
          <c:marker>
            <c:symbol val="square"/>
            <c:size val="5"/>
            <c:spPr>
              <a:solidFill>
                <a:schemeClr val="tx1">
                  <a:lumMod val="75000"/>
                  <a:lumOff val="25000"/>
                </a:schemeClr>
              </a:solidFill>
              <a:ln>
                <a:solidFill>
                  <a:schemeClr val="tx1">
                    <a:lumMod val="75000"/>
                    <a:lumOff val="2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C-C304-4D4F-AC96-DF6E4F8CE52B}"/>
                </c:ext>
              </c:extLst>
            </c:dLbl>
            <c:dLbl>
              <c:idx val="1"/>
              <c:delete val="1"/>
              <c:extLst>
                <c:ext xmlns:c15="http://schemas.microsoft.com/office/drawing/2012/chart" uri="{CE6537A1-D6FC-4f65-9D91-7224C49458BB}"/>
                <c:ext xmlns:c16="http://schemas.microsoft.com/office/drawing/2014/chart" uri="{C3380CC4-5D6E-409C-BE32-E72D297353CC}">
                  <c16:uniqueId val="{0000001F-881C-430C-AD37-46CFA28A265D}"/>
                </c:ext>
              </c:extLst>
            </c:dLbl>
            <c:dLbl>
              <c:idx val="2"/>
              <c:delete val="1"/>
              <c:extLst>
                <c:ext xmlns:c15="http://schemas.microsoft.com/office/drawing/2012/chart" uri="{CE6537A1-D6FC-4f65-9D91-7224C49458BB}"/>
                <c:ext xmlns:c16="http://schemas.microsoft.com/office/drawing/2014/chart" uri="{C3380CC4-5D6E-409C-BE32-E72D297353CC}">
                  <c16:uniqueId val="{0000001C-C8E2-4D9B-8721-94A700032B38}"/>
                </c:ext>
              </c:extLst>
            </c:dLbl>
            <c:dLbl>
              <c:idx val="3"/>
              <c:delete val="1"/>
              <c:extLst>
                <c:ext xmlns:c15="http://schemas.microsoft.com/office/drawing/2012/chart" uri="{CE6537A1-D6FC-4f65-9D91-7224C49458BB}"/>
                <c:ext xmlns:c16="http://schemas.microsoft.com/office/drawing/2014/chart" uri="{C3380CC4-5D6E-409C-BE32-E72D297353CC}">
                  <c16:uniqueId val="{0000001C-0940-41CB-8AE8-CAC81947EE9A}"/>
                </c:ext>
              </c:extLst>
            </c:dLbl>
            <c:dLbl>
              <c:idx val="4"/>
              <c:delete val="1"/>
              <c:extLst>
                <c:ext xmlns:c15="http://schemas.microsoft.com/office/drawing/2012/chart" uri="{CE6537A1-D6FC-4f65-9D91-7224C49458BB}"/>
                <c:ext xmlns:c16="http://schemas.microsoft.com/office/drawing/2014/chart" uri="{C3380CC4-5D6E-409C-BE32-E72D297353CC}">
                  <c16:uniqueId val="{0000002C-57B8-4DBF-A408-7066DAF469F2}"/>
                </c:ext>
              </c:extLst>
            </c:dLbl>
            <c:dLbl>
              <c:idx val="5"/>
              <c:delete val="1"/>
              <c:extLst>
                <c:ext xmlns:c15="http://schemas.microsoft.com/office/drawing/2012/chart" uri="{CE6537A1-D6FC-4f65-9D91-7224C49458BB}"/>
                <c:ext xmlns:c16="http://schemas.microsoft.com/office/drawing/2014/chart" uri="{C3380CC4-5D6E-409C-BE32-E72D297353CC}">
                  <c16:uniqueId val="{00000030-C765-421E-AD2F-8C5241CA80CD}"/>
                </c:ext>
              </c:extLst>
            </c:dLbl>
            <c:dLbl>
              <c:idx val="6"/>
              <c:delete val="1"/>
              <c:extLst>
                <c:ext xmlns:c15="http://schemas.microsoft.com/office/drawing/2012/chart" uri="{CE6537A1-D6FC-4f65-9D91-7224C49458BB}"/>
                <c:ext xmlns:c16="http://schemas.microsoft.com/office/drawing/2014/chart" uri="{C3380CC4-5D6E-409C-BE32-E72D297353CC}">
                  <c16:uniqueId val="{0000002C-1022-46A3-B3B7-D9F977C67946}"/>
                </c:ext>
              </c:extLst>
            </c:dLbl>
            <c:dLbl>
              <c:idx val="7"/>
              <c:delete val="1"/>
              <c:extLst>
                <c:ext xmlns:c15="http://schemas.microsoft.com/office/drawing/2012/chart" uri="{CE6537A1-D6FC-4f65-9D91-7224C49458BB}"/>
                <c:ext xmlns:c16="http://schemas.microsoft.com/office/drawing/2014/chart" uri="{C3380CC4-5D6E-409C-BE32-E72D297353CC}">
                  <c16:uniqueId val="{0000002C-4A60-43EC-95F5-3019B07077A5}"/>
                </c:ext>
              </c:extLst>
            </c:dLbl>
            <c:dLbl>
              <c:idx val="8"/>
              <c:delete val="1"/>
              <c:extLst>
                <c:ext xmlns:c15="http://schemas.microsoft.com/office/drawing/2012/chart" uri="{CE6537A1-D6FC-4f65-9D91-7224C49458BB}"/>
                <c:ext xmlns:c16="http://schemas.microsoft.com/office/drawing/2014/chart" uri="{C3380CC4-5D6E-409C-BE32-E72D297353CC}">
                  <c16:uniqueId val="{0000002F-754B-4E45-843A-A17FA8BB0EC1}"/>
                </c:ext>
              </c:extLst>
            </c:dLbl>
            <c:dLbl>
              <c:idx val="9"/>
              <c:delete val="1"/>
              <c:extLst>
                <c:ext xmlns:c15="http://schemas.microsoft.com/office/drawing/2012/chart" uri="{CE6537A1-D6FC-4f65-9D91-7224C49458BB}"/>
                <c:ext xmlns:c16="http://schemas.microsoft.com/office/drawing/2014/chart" uri="{C3380CC4-5D6E-409C-BE32-E72D297353CC}">
                  <c16:uniqueId val="{0000002D-F731-47D2-9133-C46429607694}"/>
                </c:ext>
              </c:extLst>
            </c:dLbl>
            <c:dLbl>
              <c:idx val="10"/>
              <c:delete val="1"/>
              <c:extLst>
                <c:ext xmlns:c15="http://schemas.microsoft.com/office/drawing/2012/chart" uri="{CE6537A1-D6FC-4f65-9D91-7224C49458BB}"/>
                <c:ext xmlns:c16="http://schemas.microsoft.com/office/drawing/2014/chart" uri="{C3380CC4-5D6E-409C-BE32-E72D297353CC}">
                  <c16:uniqueId val="{0000003C-C175-477D-86C1-E246CB8B4F83}"/>
                </c:ext>
              </c:extLst>
            </c:dLbl>
            <c:dLbl>
              <c:idx val="11"/>
              <c:delete val="1"/>
              <c:extLst>
                <c:ext xmlns:c15="http://schemas.microsoft.com/office/drawing/2012/chart" uri="{CE6537A1-D6FC-4f65-9D91-7224C49458BB}"/>
                <c:ext xmlns:c16="http://schemas.microsoft.com/office/drawing/2014/chart" uri="{C3380CC4-5D6E-409C-BE32-E72D297353CC}">
                  <c16:uniqueId val="{0000003D-4BD4-46C6-921D-61DCF80C778C}"/>
                </c:ext>
              </c:extLst>
            </c:dLbl>
            <c:dLbl>
              <c:idx val="12"/>
              <c:delete val="1"/>
              <c:extLst>
                <c:ext xmlns:c15="http://schemas.microsoft.com/office/drawing/2012/chart" uri="{CE6537A1-D6FC-4f65-9D91-7224C49458BB}"/>
                <c:ext xmlns:c16="http://schemas.microsoft.com/office/drawing/2014/chart" uri="{C3380CC4-5D6E-409C-BE32-E72D297353CC}">
                  <c16:uniqueId val="{0000003D-2DCF-4220-BC0D-B97A585498FA}"/>
                </c:ext>
              </c:extLst>
            </c:dLbl>
            <c:dLbl>
              <c:idx val="13"/>
              <c:delete val="1"/>
              <c:extLst>
                <c:ext xmlns:c15="http://schemas.microsoft.com/office/drawing/2012/chart" uri="{CE6537A1-D6FC-4f65-9D91-7224C49458BB}"/>
                <c:ext xmlns:c16="http://schemas.microsoft.com/office/drawing/2014/chart" uri="{C3380CC4-5D6E-409C-BE32-E72D297353CC}">
                  <c16:uniqueId val="{0000003C-8AE7-4B87-976B-DCE7EB5E78DE}"/>
                </c:ext>
              </c:extLst>
            </c:dLbl>
            <c:dLbl>
              <c:idx val="14"/>
              <c:delete val="1"/>
              <c:extLst>
                <c:ext xmlns:c15="http://schemas.microsoft.com/office/drawing/2012/chart" uri="{CE6537A1-D6FC-4f65-9D91-7224C49458BB}"/>
                <c:ext xmlns:c16="http://schemas.microsoft.com/office/drawing/2014/chart" uri="{C3380CC4-5D6E-409C-BE32-E72D297353CC}">
                  <c16:uniqueId val="{0000003C-1B0F-4B92-ADE5-9F69DB90D3E7}"/>
                </c:ext>
              </c:extLst>
            </c:dLbl>
            <c:dLbl>
              <c:idx val="15"/>
              <c:delete val="1"/>
              <c:extLst>
                <c:ext xmlns:c15="http://schemas.microsoft.com/office/drawing/2012/chart" uri="{CE6537A1-D6FC-4f65-9D91-7224C49458BB}"/>
                <c:ext xmlns:c16="http://schemas.microsoft.com/office/drawing/2014/chart" uri="{C3380CC4-5D6E-409C-BE32-E72D297353CC}">
                  <c16:uniqueId val="{0000003C-F69C-4D8A-B5E7-D4F0764B6B0D}"/>
                </c:ext>
              </c:extLst>
            </c:dLbl>
            <c:dLbl>
              <c:idx val="16"/>
              <c:delete val="1"/>
              <c:extLst>
                <c:ext xmlns:c15="http://schemas.microsoft.com/office/drawing/2012/chart" uri="{CE6537A1-D6FC-4f65-9D91-7224C49458BB}"/>
                <c:ext xmlns:c16="http://schemas.microsoft.com/office/drawing/2014/chart" uri="{C3380CC4-5D6E-409C-BE32-E72D297353CC}">
                  <c16:uniqueId val="{0000003C-F811-4612-B247-592A91EE64C3}"/>
                </c:ext>
              </c:extLst>
            </c:dLbl>
            <c:dLbl>
              <c:idx val="17"/>
              <c:delete val="1"/>
              <c:extLst>
                <c:ext xmlns:c15="http://schemas.microsoft.com/office/drawing/2012/chart" uri="{CE6537A1-D6FC-4f65-9D91-7224C49458BB}"/>
                <c:ext xmlns:c16="http://schemas.microsoft.com/office/drawing/2014/chart" uri="{C3380CC4-5D6E-409C-BE32-E72D297353CC}">
                  <c16:uniqueId val="{00000043-7740-4415-9627-9C12DDE10164}"/>
                </c:ext>
              </c:extLst>
            </c:dLbl>
            <c:dLbl>
              <c:idx val="18"/>
              <c:delete val="1"/>
              <c:extLst>
                <c:ext xmlns:c15="http://schemas.microsoft.com/office/drawing/2012/chart" uri="{CE6537A1-D6FC-4f65-9D91-7224C49458BB}"/>
                <c:ext xmlns:c16="http://schemas.microsoft.com/office/drawing/2014/chart" uri="{C3380CC4-5D6E-409C-BE32-E72D297353CC}">
                  <c16:uniqueId val="{0000003D-10E6-45C2-9B45-F7EFA7A6249C}"/>
                </c:ext>
              </c:extLst>
            </c:dLbl>
            <c:dLbl>
              <c:idx val="19"/>
              <c:delete val="1"/>
              <c:extLst>
                <c:ext xmlns:c15="http://schemas.microsoft.com/office/drawing/2012/chart" uri="{CE6537A1-D6FC-4f65-9D91-7224C49458BB}"/>
                <c:ext xmlns:c16="http://schemas.microsoft.com/office/drawing/2014/chart" uri="{C3380CC4-5D6E-409C-BE32-E72D297353CC}">
                  <c16:uniqueId val="{0000003C-CFDB-4F60-A168-80379539D038}"/>
                </c:ext>
              </c:extLst>
            </c:dLbl>
            <c:dLbl>
              <c:idx val="20"/>
              <c:layout>
                <c:manualLayout>
                  <c:x val="-1.7595307917888565E-2"/>
                  <c:y val="-2.42424242424242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1F6B-46AD-81D8-F88276DCB071}"/>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'2.3'!$A$16:$B$68</c15:sqref>
                  </c15:fullRef>
                </c:ext>
              </c:extLst>
              <c:f>'2.3'!$A$48:$B$68</c:f>
              <c:multiLvlStrCache>
                <c:ptCount val="2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lvl>
                <c:lvl>
                  <c:pt idx="0">
                    <c:v>2021</c:v>
                  </c:pt>
                  <c:pt idx="4">
                    <c:v>2022</c:v>
                  </c:pt>
                  <c:pt idx="8">
                    <c:v>2023</c:v>
                  </c:pt>
                  <c:pt idx="12">
                    <c:v>2024</c:v>
                  </c:pt>
                  <c:pt idx="16">
                    <c:v>2025</c:v>
                  </c:pt>
                  <c:pt idx="20">
                    <c:v>2026</c:v>
                  </c:pt>
                </c:lvl>
              </c:multiLvlStrCache>
            </c:multiLvlStrRef>
          </c:cat>
          <c:val>
            <c:numRef>
              <c:extLst>
                <c:ext xmlns:c15="http://schemas.microsoft.com/office/drawing/2012/chart" uri="{02D57815-91ED-43cb-92C2-25804820EDAC}">
                  <c15:fullRef>
                    <c15:sqref>'2.3'!$C$16:$C$68</c15:sqref>
                  </c15:fullRef>
                </c:ext>
              </c:extLst>
              <c:f>'2.3'!$C$48:$C$68</c:f>
              <c:numCache>
                <c:formatCode>#,##0.00;[Red]#,##0.00</c:formatCode>
                <c:ptCount val="21"/>
                <c:pt idx="0">
                  <c:v>5829.676811620282</c:v>
                </c:pt>
                <c:pt idx="1">
                  <c:v>5965.6431461884413</c:v>
                </c:pt>
                <c:pt idx="2">
                  <c:v>5977.1953232511623</c:v>
                </c:pt>
                <c:pt idx="3">
                  <c:v>6090.4262024577229</c:v>
                </c:pt>
                <c:pt idx="4">
                  <c:v>6199.3683714685012</c:v>
                </c:pt>
                <c:pt idx="5">
                  <c:v>6277.7555320279307</c:v>
                </c:pt>
                <c:pt idx="6">
                  <c:v>6459.2450440468165</c:v>
                </c:pt>
                <c:pt idx="7">
                  <c:v>6379.6873213425788</c:v>
                </c:pt>
                <c:pt idx="8">
                  <c:v>6319.5980946808631</c:v>
                </c:pt>
                <c:pt idx="9">
                  <c:v>6641.5259967641468</c:v>
                </c:pt>
                <c:pt idx="10">
                  <c:v>6862.4961483217185</c:v>
                </c:pt>
                <c:pt idx="11">
                  <c:v>7102.6909397501222</c:v>
                </c:pt>
                <c:pt idx="12">
                  <c:v>7202.1970430483834</c:v>
                </c:pt>
                <c:pt idx="13">
                  <c:v>7454.1057454401907</c:v>
                </c:pt>
                <c:pt idx="14">
                  <c:v>7443.3498710150407</c:v>
                </c:pt>
                <c:pt idx="15">
                  <c:v>7661.4195718425872</c:v>
                </c:pt>
                <c:pt idx="16">
                  <c:v>7823.4665646421799</c:v>
                </c:pt>
                <c:pt idx="17">
                  <c:v>8082.6254496920646</c:v>
                </c:pt>
                <c:pt idx="18">
                  <c:v>8311.5199855852352</c:v>
                </c:pt>
                <c:pt idx="19">
                  <c:v>8595.640392975316</c:v>
                </c:pt>
                <c:pt idx="20">
                  <c:v>8704.2084196542291</c:v>
                </c:pt>
              </c:numCache>
            </c:numRef>
          </c:val>
          <c:smooth val="0"/>
          <c:extLst>
            <c:ext xmlns:c15="http://schemas.microsoft.com/office/drawing/2012/chart" uri="{02D57815-91ED-43cb-92C2-25804820EDAC}">
              <c15:categoryFilterExceptions>
                <c15:categoryFilterException>
                  <c15:sqref>'2.3'!$C$24</c15:sqref>
                  <c15:dLbl>
                    <c:idx val="-1"/>
                    <c:delete val="1"/>
                    <c:extLst>
                      <c:ext uri="{CE6537A1-D6FC-4f65-9D91-7224C49458BB}"/>
                      <c:ext xmlns:c16="http://schemas.microsoft.com/office/drawing/2014/chart" uri="{C3380CC4-5D6E-409C-BE32-E72D297353CC}">
                        <c16:uniqueId val="{00000000-4555-4E69-B183-1943F458EA25}"/>
                      </c:ext>
                    </c:extLst>
                  </c15:dLbl>
                </c15:categoryFilterException>
                <c15:categoryFilterException>
                  <c15:sqref>'2.3'!$C$25</c15:sqref>
                  <c15:dLbl>
                    <c:idx val="-1"/>
                    <c:delete val="1"/>
                    <c:extLst>
                      <c:ext uri="{CE6537A1-D6FC-4f65-9D91-7224C49458BB}"/>
                      <c:ext xmlns:c16="http://schemas.microsoft.com/office/drawing/2014/chart" uri="{C3380CC4-5D6E-409C-BE32-E72D297353CC}">
                        <c16:uniqueId val="{00000001-4555-4E69-B183-1943F458EA25}"/>
                      </c:ext>
                    </c:extLst>
                  </c15:dLbl>
                </c15:categoryFilterException>
                <c15:categoryFilterException>
                  <c15:sqref>'2.3'!$C$26</c15:sqref>
                  <c15:dLbl>
                    <c:idx val="-1"/>
                    <c:delete val="1"/>
                    <c:extLst>
                      <c:ext uri="{CE6537A1-D6FC-4f65-9D91-7224C49458BB}"/>
                      <c:ext xmlns:c16="http://schemas.microsoft.com/office/drawing/2014/chart" uri="{C3380CC4-5D6E-409C-BE32-E72D297353CC}">
                        <c16:uniqueId val="{00000002-4555-4E69-B183-1943F458EA25}"/>
                      </c:ext>
                    </c:extLst>
                  </c15:dLbl>
                </c15:categoryFilterException>
                <c15:categoryFilterException>
                  <c15:sqref>'2.3'!$C$27</c15:sqref>
                  <c15:dLbl>
                    <c:idx val="-1"/>
                    <c:delete val="1"/>
                    <c:extLst>
                      <c:ext uri="{CE6537A1-D6FC-4f65-9D91-7224C49458BB}"/>
                      <c:ext xmlns:c16="http://schemas.microsoft.com/office/drawing/2014/chart" uri="{C3380CC4-5D6E-409C-BE32-E72D297353CC}">
                        <c16:uniqueId val="{00000003-4555-4E69-B183-1943F458EA25}"/>
                      </c:ext>
                    </c:extLst>
                  </c15:dLbl>
                </c15:categoryFilterException>
                <c15:categoryFilterException>
                  <c15:sqref>'2.3'!$C$28</c15:sqref>
                  <c15:dLbl>
                    <c:idx val="-1"/>
                    <c:delete val="1"/>
                    <c:extLst>
                      <c:ext uri="{CE6537A1-D6FC-4f65-9D91-7224C49458BB}"/>
                      <c:ext xmlns:c16="http://schemas.microsoft.com/office/drawing/2014/chart" uri="{C3380CC4-5D6E-409C-BE32-E72D297353CC}">
                        <c16:uniqueId val="{00000004-4555-4E69-B183-1943F458EA25}"/>
                      </c:ext>
                    </c:extLst>
                  </c15:dLbl>
                </c15:categoryFilterException>
                <c15:categoryFilterException>
                  <c15:sqref>'2.3'!$C$29</c15:sqref>
                  <c15:dLbl>
                    <c:idx val="-1"/>
                    <c:delete val="1"/>
                    <c:extLst>
                      <c:ext uri="{CE6537A1-D6FC-4f65-9D91-7224C49458BB}"/>
                      <c:ext xmlns:c16="http://schemas.microsoft.com/office/drawing/2014/chart" uri="{C3380CC4-5D6E-409C-BE32-E72D297353CC}">
                        <c16:uniqueId val="{00000005-4555-4E69-B183-1943F458EA25}"/>
                      </c:ext>
                    </c:extLst>
                  </c15:dLbl>
                </c15:categoryFilterException>
                <c15:categoryFilterException>
                  <c15:sqref>'2.3'!$C$30</c15:sqref>
                  <c15:dLbl>
                    <c:idx val="-1"/>
                    <c:delete val="1"/>
                    <c:extLst>
                      <c:ext uri="{CE6537A1-D6FC-4f65-9D91-7224C49458BB}"/>
                      <c:ext xmlns:c16="http://schemas.microsoft.com/office/drawing/2014/chart" uri="{C3380CC4-5D6E-409C-BE32-E72D297353CC}">
                        <c16:uniqueId val="{00000006-4555-4E69-B183-1943F458EA25}"/>
                      </c:ext>
                    </c:extLst>
                  </c15:dLbl>
                </c15:categoryFilterException>
                <c15:categoryFilterException>
                  <c15:sqref>'2.3'!$C$31</c15:sqref>
                  <c15:dLbl>
                    <c:idx val="-1"/>
                    <c:delete val="1"/>
                    <c:extLst>
                      <c:ext uri="{CE6537A1-D6FC-4f65-9D91-7224C49458BB}"/>
                      <c:ext xmlns:c16="http://schemas.microsoft.com/office/drawing/2014/chart" uri="{C3380CC4-5D6E-409C-BE32-E72D297353CC}">
                        <c16:uniqueId val="{00000007-4555-4E69-B183-1943F458EA25}"/>
                      </c:ext>
                    </c:extLst>
                  </c15:dLbl>
                </c15:categoryFilterException>
                <c15:categoryFilterException>
                  <c15:sqref>'2.3'!$C$32</c15:sqref>
                  <c15:dLbl>
                    <c:idx val="-1"/>
                    <c:delete val="1"/>
                    <c:extLst>
                      <c:ext uri="{CE6537A1-D6FC-4f65-9D91-7224C49458BB}"/>
                      <c:ext xmlns:c16="http://schemas.microsoft.com/office/drawing/2014/chart" uri="{C3380CC4-5D6E-409C-BE32-E72D297353CC}">
                        <c16:uniqueId val="{00000008-4555-4E69-B183-1943F458EA25}"/>
                      </c:ext>
                    </c:extLst>
                  </c15:dLbl>
                </c15:categoryFilterException>
                <c15:categoryFilterException>
                  <c15:sqref>'2.3'!$C$33</c15:sqref>
                  <c15:dLbl>
                    <c:idx val="-1"/>
                    <c:delete val="1"/>
                    <c:extLst>
                      <c:ext uri="{CE6537A1-D6FC-4f65-9D91-7224C49458BB}"/>
                      <c:ext xmlns:c16="http://schemas.microsoft.com/office/drawing/2014/chart" uri="{C3380CC4-5D6E-409C-BE32-E72D297353CC}">
                        <c16:uniqueId val="{00000009-4555-4E69-B183-1943F458EA25}"/>
                      </c:ext>
                    </c:extLst>
                  </c15:dLbl>
                </c15:categoryFilterException>
                <c15:categoryFilterException>
                  <c15:sqref>'2.3'!$C$34</c15:sqref>
                  <c15:dLbl>
                    <c:idx val="-1"/>
                    <c:delete val="1"/>
                    <c:extLst>
                      <c:ext uri="{CE6537A1-D6FC-4f65-9D91-7224C49458BB}"/>
                      <c:ext xmlns:c16="http://schemas.microsoft.com/office/drawing/2014/chart" uri="{C3380CC4-5D6E-409C-BE32-E72D297353CC}">
                        <c16:uniqueId val="{0000000A-4555-4E69-B183-1943F458EA25}"/>
                      </c:ext>
                    </c:extLst>
                  </c15:dLbl>
                </c15:categoryFilterException>
                <c15:categoryFilterException>
                  <c15:sqref>'2.3'!$C$35</c15:sqref>
                  <c15:dLbl>
                    <c:idx val="-1"/>
                    <c:delete val="1"/>
                    <c:extLst>
                      <c:ext uri="{CE6537A1-D6FC-4f65-9D91-7224C49458BB}"/>
                      <c:ext xmlns:c16="http://schemas.microsoft.com/office/drawing/2014/chart" uri="{C3380CC4-5D6E-409C-BE32-E72D297353CC}">
                        <c16:uniqueId val="{0000000B-4555-4E69-B183-1943F458EA25}"/>
                      </c:ext>
                    </c:extLst>
                  </c15:dLbl>
                </c15:categoryFilterException>
                <c15:categoryFilterException>
                  <c15:sqref>'2.3'!$C$36</c15:sqref>
                  <c15:dLbl>
                    <c:idx val="-1"/>
                    <c:delete val="1"/>
                    <c:extLst>
                      <c:ext uri="{CE6537A1-D6FC-4f65-9D91-7224C49458BB}"/>
                      <c:ext xmlns:c16="http://schemas.microsoft.com/office/drawing/2014/chart" uri="{C3380CC4-5D6E-409C-BE32-E72D297353CC}">
                        <c16:uniqueId val="{0000000C-4555-4E69-B183-1943F458EA25}"/>
                      </c:ext>
                    </c:extLst>
                  </c15:dLbl>
                </c15:categoryFilterException>
                <c15:categoryFilterException>
                  <c15:sqref>'2.3'!$C$37</c15:sqref>
                  <c15:dLbl>
                    <c:idx val="-1"/>
                    <c:delete val="1"/>
                    <c:extLst>
                      <c:ext uri="{CE6537A1-D6FC-4f65-9D91-7224C49458BB}"/>
                      <c:ext xmlns:c16="http://schemas.microsoft.com/office/drawing/2014/chart" uri="{C3380CC4-5D6E-409C-BE32-E72D297353CC}">
                        <c16:uniqueId val="{0000000D-4555-4E69-B183-1943F458EA25}"/>
                      </c:ext>
                    </c:extLst>
                  </c15:dLbl>
                </c15:categoryFilterException>
                <c15:categoryFilterException>
                  <c15:sqref>'2.3'!$C$38</c15:sqref>
                  <c15:dLbl>
                    <c:idx val="-1"/>
                    <c:delete val="1"/>
                    <c:extLst>
                      <c:ext uri="{CE6537A1-D6FC-4f65-9D91-7224C49458BB}"/>
                      <c:ext xmlns:c16="http://schemas.microsoft.com/office/drawing/2014/chart" uri="{C3380CC4-5D6E-409C-BE32-E72D297353CC}">
                        <c16:uniqueId val="{0000000E-4555-4E69-B183-1943F458EA25}"/>
                      </c:ext>
                    </c:extLst>
                  </c15:dLbl>
                </c15:categoryFilterException>
                <c15:categoryFilterException>
                  <c15:sqref>'2.3'!$C$39</c15:sqref>
                  <c15:dLbl>
                    <c:idx val="-1"/>
                    <c:delete val="1"/>
                    <c:extLst>
                      <c:ext uri="{CE6537A1-D6FC-4f65-9D91-7224C49458BB}"/>
                      <c:ext xmlns:c16="http://schemas.microsoft.com/office/drawing/2014/chart" uri="{C3380CC4-5D6E-409C-BE32-E72D297353CC}">
                        <c16:uniqueId val="{0000000F-4555-4E69-B183-1943F458EA25}"/>
                      </c:ext>
                    </c:extLst>
                  </c15:dLbl>
                </c15:categoryFilterException>
                <c15:categoryFilterException>
                  <c15:sqref>'2.3'!$C$40</c15:sqref>
                  <c15:dLbl>
                    <c:idx val="-1"/>
                    <c:delete val="1"/>
                    <c:extLst>
                      <c:ext uri="{CE6537A1-D6FC-4f65-9D91-7224C49458BB}"/>
                      <c:ext xmlns:c16="http://schemas.microsoft.com/office/drawing/2014/chart" uri="{C3380CC4-5D6E-409C-BE32-E72D297353CC}">
                        <c16:uniqueId val="{00000010-4555-4E69-B183-1943F458EA25}"/>
                      </c:ext>
                    </c:extLst>
                  </c15:dLbl>
                </c15:categoryFilterException>
                <c15:categoryFilterException>
                  <c15:sqref>'2.3'!$C$41</c15:sqref>
                  <c15:dLbl>
                    <c:idx val="-1"/>
                    <c:delete val="1"/>
                    <c:extLst>
                      <c:ext uri="{CE6537A1-D6FC-4f65-9D91-7224C49458BB}"/>
                      <c:ext xmlns:c16="http://schemas.microsoft.com/office/drawing/2014/chart" uri="{C3380CC4-5D6E-409C-BE32-E72D297353CC}">
                        <c16:uniqueId val="{00000011-4555-4E69-B183-1943F458EA25}"/>
                      </c:ext>
                    </c:extLst>
                  </c15:dLbl>
                </c15:categoryFilterException>
                <c15:categoryFilterException>
                  <c15:sqref>'2.3'!$C$42</c15:sqref>
                  <c15:dLbl>
                    <c:idx val="-1"/>
                    <c:delete val="1"/>
                    <c:extLst>
                      <c:ext uri="{CE6537A1-D6FC-4f65-9D91-7224C49458BB}"/>
                      <c:ext xmlns:c16="http://schemas.microsoft.com/office/drawing/2014/chart" uri="{C3380CC4-5D6E-409C-BE32-E72D297353CC}">
                        <c16:uniqueId val="{00000012-4555-4E69-B183-1943F458EA25}"/>
                      </c:ext>
                    </c:extLst>
                  </c15:dLbl>
                </c15:categoryFilterException>
                <c15:categoryFilterException>
                  <c15:sqref>'2.3'!$C$43</c15:sqref>
                  <c15:dLbl>
                    <c:idx val="-1"/>
                    <c:delete val="1"/>
                    <c:extLst>
                      <c:ext uri="{CE6537A1-D6FC-4f65-9D91-7224C49458BB}"/>
                      <c:ext xmlns:c16="http://schemas.microsoft.com/office/drawing/2014/chart" uri="{C3380CC4-5D6E-409C-BE32-E72D297353CC}">
                        <c16:uniqueId val="{00000013-4555-4E69-B183-1943F458EA25}"/>
                      </c:ext>
                    </c:extLst>
                  </c15:dLbl>
                </c15:categoryFilterException>
                <c15:categoryFilterException>
                  <c15:sqref>'2.3'!$C$44</c15:sqref>
                  <c15:dLbl>
                    <c:idx val="-1"/>
                    <c:delete val="1"/>
                    <c:extLst>
                      <c:ext uri="{CE6537A1-D6FC-4f65-9D91-7224C49458BB}"/>
                      <c:ext xmlns:c16="http://schemas.microsoft.com/office/drawing/2014/chart" uri="{C3380CC4-5D6E-409C-BE32-E72D297353CC}">
                        <c16:uniqueId val="{00000014-4555-4E69-B183-1943F458EA25}"/>
                      </c:ext>
                    </c:extLst>
                  </c15:dLbl>
                </c15:categoryFilterException>
                <c15:categoryFilterException>
                  <c15:sqref>'2.3'!$C$45</c15:sqref>
                  <c15:dLbl>
                    <c:idx val="-1"/>
                    <c:delete val="1"/>
                    <c:extLst>
                      <c:ext uri="{CE6537A1-D6FC-4f65-9D91-7224C49458BB}"/>
                      <c:ext xmlns:c16="http://schemas.microsoft.com/office/drawing/2014/chart" uri="{C3380CC4-5D6E-409C-BE32-E72D297353CC}">
                        <c16:uniqueId val="{00000015-4555-4E69-B183-1943F458EA25}"/>
                      </c:ext>
                    </c:extLst>
                  </c15:dLbl>
                </c15:categoryFilterException>
                <c15:categoryFilterException>
                  <c15:sqref>'2.3'!$C$46</c15:sqref>
                  <c15:dLbl>
                    <c:idx val="-1"/>
                    <c:delete val="1"/>
                    <c:extLst>
                      <c:ext uri="{CE6537A1-D6FC-4f65-9D91-7224C49458BB}"/>
                      <c:ext xmlns:c16="http://schemas.microsoft.com/office/drawing/2014/chart" uri="{C3380CC4-5D6E-409C-BE32-E72D297353CC}">
                        <c16:uniqueId val="{00000016-4555-4E69-B183-1943F458EA25}"/>
                      </c:ext>
                    </c:extLst>
                  </c15:dLbl>
                </c15:categoryFilterException>
                <c15:categoryFilterException>
                  <c15:sqref>'2.3'!$C$47</c15:sqref>
                  <c15:dLbl>
                    <c:idx val="-1"/>
                    <c:delete val="1"/>
                    <c:extLst>
                      <c:ext uri="{CE6537A1-D6FC-4f65-9D91-7224C49458BB}"/>
                      <c:ext xmlns:c16="http://schemas.microsoft.com/office/drawing/2014/chart" uri="{C3380CC4-5D6E-409C-BE32-E72D297353CC}">
                        <c16:uniqueId val="{00000017-4555-4E69-B183-1943F458EA25}"/>
                      </c:ext>
                    </c:extLst>
                  </c15:dLbl>
                </c15:categoryFilterException>
              </c15:categoryFilterExceptions>
            </c:ext>
            <c:ext xmlns:c16="http://schemas.microsoft.com/office/drawing/2014/chart" uri="{C3380CC4-5D6E-409C-BE32-E72D297353CC}">
              <c16:uniqueId val="{00000007-9A4E-48B0-A912-6292D3590A5B}"/>
            </c:ext>
          </c:extLst>
        </c:ser>
        <c:dLbls>
          <c:showLegendKey val="0"/>
          <c:showVal val="1"/>
          <c:showCatName val="0"/>
          <c:showSerName val="0"/>
          <c:showPercent val="0"/>
          <c:showBubbleSize val="0"/>
        </c:dLbls>
        <c:marker val="1"/>
        <c:smooth val="0"/>
        <c:axId val="486512032"/>
        <c:axId val="486512424"/>
      </c:lineChart>
      <c:catAx>
        <c:axId val="486512032"/>
        <c:scaling>
          <c:orientation val="minMax"/>
        </c:scaling>
        <c:delete val="0"/>
        <c:axPos val="b"/>
        <c:numFmt formatCode="General" sourceLinked="0"/>
        <c:majorTickMark val="none"/>
        <c:minorTickMark val="none"/>
        <c:tickLblPos val="nextTo"/>
        <c:spPr>
          <a:ln w="0">
            <a:solidFill>
              <a:schemeClr val="accent1"/>
            </a:solidFill>
          </a:ln>
        </c:spPr>
        <c:txPr>
          <a:bodyPr rot="-5400000" vert="horz"/>
          <a:lstStyle/>
          <a:p>
            <a:pPr>
              <a:defRPr sz="1050"/>
            </a:pPr>
            <a:endParaRPr lang="en-US"/>
          </a:p>
        </c:txPr>
        <c:crossAx val="486512424"/>
        <c:crosses val="autoZero"/>
        <c:auto val="1"/>
        <c:lblAlgn val="ctr"/>
        <c:lblOffset val="100"/>
        <c:noMultiLvlLbl val="0"/>
      </c:catAx>
      <c:valAx>
        <c:axId val="486512424"/>
        <c:scaling>
          <c:orientation val="minMax"/>
        </c:scaling>
        <c:delete val="0"/>
        <c:axPos val="l"/>
        <c:majorGridlines>
          <c:spPr>
            <a:ln w="0">
              <a:solidFill>
                <a:schemeClr val="bg1">
                  <a:lumMod val="85000"/>
                </a:schemeClr>
              </a:solidFill>
            </a:ln>
          </c:spPr>
        </c:majorGridlines>
        <c:title>
          <c:tx>
            <c:rich>
              <a:bodyPr/>
              <a:lstStyle/>
              <a:p>
                <a:pPr>
                  <a:defRPr sz="1100">
                    <a:latin typeface="Heuristica" panose="02020603050705020204" pitchFamily="18" charset="0"/>
                  </a:defRPr>
                </a:pPr>
                <a:r>
                  <a:rPr lang="en-US" sz="1100">
                    <a:latin typeface="Heuristica" panose="02020603050705020204" pitchFamily="18" charset="0"/>
                  </a:rPr>
                  <a:t>BND Million</a:t>
                </a:r>
              </a:p>
            </c:rich>
          </c:tx>
          <c:layout>
            <c:manualLayout>
              <c:xMode val="edge"/>
              <c:yMode val="edge"/>
              <c:x val="6.3199944581707329E-3"/>
              <c:y val="0.39531551737850951"/>
            </c:manualLayout>
          </c:layout>
          <c:overlay val="0"/>
        </c:title>
        <c:numFmt formatCode="#,##0.00;[Red]#,##0.00" sourceLinked="1"/>
        <c:majorTickMark val="none"/>
        <c:minorTickMark val="none"/>
        <c:tickLblPos val="nextTo"/>
        <c:txPr>
          <a:bodyPr/>
          <a:lstStyle/>
          <a:p>
            <a:pPr>
              <a:defRPr sz="1050"/>
            </a:pPr>
            <a:endParaRPr lang="en-US"/>
          </a:p>
        </c:txPr>
        <c:crossAx val="486512032"/>
        <c:crosses val="autoZero"/>
        <c:crossBetween val="between"/>
      </c:valAx>
      <c:spPr>
        <a:noFill/>
        <a:ln w="3175">
          <a:solidFill>
            <a:schemeClr val="bg1">
              <a:lumMod val="85000"/>
            </a:schemeClr>
          </a:solidFill>
        </a:ln>
      </c:spPr>
    </c:plotArea>
    <c:legend>
      <c:legendPos val="r"/>
      <c:layout>
        <c:manualLayout>
          <c:xMode val="edge"/>
          <c:yMode val="edge"/>
          <c:x val="8.7409703151924895E-2"/>
          <c:y val="0.95095318077675994"/>
          <c:w val="0.866891863509064"/>
          <c:h val="4.2109426185569468E-2"/>
        </c:manualLayout>
      </c:layout>
      <c:overlay val="0"/>
      <c:txPr>
        <a:bodyPr/>
        <a:lstStyle/>
        <a:p>
          <a:pPr>
            <a:defRPr sz="1200" b="0">
              <a:latin typeface="Heuristica" panose="02020603050705020204" pitchFamily="18" charset="0"/>
            </a:defRPr>
          </a:pPr>
          <a:endParaRPr lang="en-US"/>
        </a:p>
      </c:txPr>
    </c:legend>
    <c:plotVisOnly val="1"/>
    <c:dispBlanksAs val="gap"/>
    <c:showDLblsOverMax val="0"/>
  </c:chart>
  <c:txPr>
    <a:bodyPr/>
    <a:lstStyle/>
    <a:p>
      <a:pPr>
        <a:defRPr sz="1000" b="1">
          <a:latin typeface="Geomanist" panose="02000503000000020004" pitchFamily="50" charset="0"/>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00"/>
            </a:pPr>
            <a:r>
              <a:rPr lang="en-US" sz="1700">
                <a:solidFill>
                  <a:srgbClr val="006E59"/>
                </a:solidFill>
              </a:rPr>
              <a:t>Chart 2.6: </a:t>
            </a:r>
            <a:r>
              <a:rPr lang="en-US" sz="1700">
                <a:solidFill>
                  <a:srgbClr val="D4C029"/>
                </a:solidFill>
              </a:rPr>
              <a:t>Finance Companies: Assets, </a:t>
            </a:r>
            <a:r>
              <a:rPr lang="en-US" sz="1600">
                <a:solidFill>
                  <a:srgbClr val="D4C029"/>
                </a:solidFill>
              </a:rPr>
              <a:t>Deposits</a:t>
            </a:r>
            <a:r>
              <a:rPr lang="en-US" sz="1700">
                <a:solidFill>
                  <a:srgbClr val="D4C029"/>
                </a:solidFill>
              </a:rPr>
              <a:t> and Loans/Financing</a:t>
            </a:r>
          </a:p>
        </c:rich>
      </c:tx>
      <c:layout>
        <c:manualLayout>
          <c:xMode val="edge"/>
          <c:yMode val="edge"/>
          <c:x val="0.14429168494700628"/>
          <c:y val="9.4276624512844975E-3"/>
        </c:manualLayout>
      </c:layout>
      <c:overlay val="0"/>
    </c:title>
    <c:autoTitleDeleted val="0"/>
    <c:plotArea>
      <c:layout>
        <c:manualLayout>
          <c:layoutTarget val="inner"/>
          <c:xMode val="edge"/>
          <c:yMode val="edge"/>
          <c:x val="0.1089021405315538"/>
          <c:y val="5.5988865028235107E-2"/>
          <c:w val="0.88229651095665829"/>
          <c:h val="0.77999920464487393"/>
        </c:manualLayout>
      </c:layout>
      <c:barChart>
        <c:barDir val="col"/>
        <c:grouping val="clustered"/>
        <c:varyColors val="0"/>
        <c:ser>
          <c:idx val="0"/>
          <c:order val="0"/>
          <c:tx>
            <c:v>Assets</c:v>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4-A970-4050-9935-02DCB2176CEC}"/>
                </c:ext>
              </c:extLst>
            </c:dLbl>
            <c:dLbl>
              <c:idx val="1"/>
              <c:delete val="1"/>
              <c:extLst>
                <c:ext xmlns:c15="http://schemas.microsoft.com/office/drawing/2012/chart" uri="{CE6537A1-D6FC-4f65-9D91-7224C49458BB}"/>
                <c:ext xmlns:c16="http://schemas.microsoft.com/office/drawing/2014/chart" uri="{C3380CC4-5D6E-409C-BE32-E72D297353CC}">
                  <c16:uniqueId val="{00000015-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16-A970-4050-9935-02DCB2176CEC}"/>
                </c:ext>
              </c:extLst>
            </c:dLbl>
            <c:dLbl>
              <c:idx val="3"/>
              <c:delete val="1"/>
              <c:extLst>
                <c:ext xmlns:c15="http://schemas.microsoft.com/office/drawing/2012/chart" uri="{CE6537A1-D6FC-4f65-9D91-7224C49458BB}"/>
                <c:ext xmlns:c16="http://schemas.microsoft.com/office/drawing/2014/chart" uri="{C3380CC4-5D6E-409C-BE32-E72D297353CC}">
                  <c16:uniqueId val="{00000017-A970-4050-9935-02DCB2176CEC}"/>
                </c:ext>
              </c:extLst>
            </c:dLbl>
            <c:dLbl>
              <c:idx val="4"/>
              <c:delete val="1"/>
              <c:extLst>
                <c:ext xmlns:c15="http://schemas.microsoft.com/office/drawing/2012/chart" uri="{CE6537A1-D6FC-4f65-9D91-7224C49458BB}"/>
                <c:ext xmlns:c16="http://schemas.microsoft.com/office/drawing/2014/chart" uri="{C3380CC4-5D6E-409C-BE32-E72D297353CC}">
                  <c16:uniqueId val="{00000002-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0-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E-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C-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C-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C-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C-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8-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8-0025-4696-8C61-7596577D10F8}"/>
                </c:ext>
              </c:extLst>
            </c:dLbl>
            <c:dLbl>
              <c:idx val="13"/>
              <c:delete val="1"/>
              <c:extLst>
                <c:ext xmlns:c15="http://schemas.microsoft.com/office/drawing/2012/chart" uri="{CE6537A1-D6FC-4f65-9D91-7224C49458BB}"/>
                <c:ext xmlns:c16="http://schemas.microsoft.com/office/drawing/2014/chart" uri="{C3380CC4-5D6E-409C-BE32-E72D297353CC}">
                  <c16:uniqueId val="{00000019-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A-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D-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6-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4-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4-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6-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8-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4-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4-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7-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5-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6-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6-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6-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6-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1-2C77-4520-B5BC-61C185FEB790}"/>
                </c:ext>
              </c:extLst>
            </c:dLbl>
            <c:dLbl>
              <c:idx val="30"/>
              <c:delete val="1"/>
              <c:extLst>
                <c:ext xmlns:c15="http://schemas.microsoft.com/office/drawing/2012/chart" uri="{CE6537A1-D6FC-4f65-9D91-7224C49458BB}"/>
                <c:ext xmlns:c16="http://schemas.microsoft.com/office/drawing/2014/chart" uri="{C3380CC4-5D6E-409C-BE32-E72D297353CC}">
                  <c16:uniqueId val="{00000031-9D7C-4E05-800F-DCC869386AB4}"/>
                </c:ext>
              </c:extLst>
            </c:dLbl>
            <c:dLbl>
              <c:idx val="31"/>
              <c:delete val="1"/>
              <c:extLst>
                <c:ext xmlns:c15="http://schemas.microsoft.com/office/drawing/2012/chart" uri="{CE6537A1-D6FC-4f65-9D91-7224C49458BB}"/>
                <c:ext xmlns:c16="http://schemas.microsoft.com/office/drawing/2014/chart" uri="{C3380CC4-5D6E-409C-BE32-E72D297353CC}">
                  <c16:uniqueId val="{00000030-79DC-4AF1-BF58-07301F3C4C86}"/>
                </c:ext>
              </c:extLst>
            </c:dLbl>
            <c:dLbl>
              <c:idx val="32"/>
              <c:layout>
                <c:manualLayout>
                  <c:x val="-1.7595307917888565E-2"/>
                  <c:y val="-8.08080808080808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6C6-4D57-B8D3-A99BF8A2F6DF}"/>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'2.6'!$A$12:$B$64</c15:sqref>
                  </c15:fullRef>
                </c:ext>
              </c:extLst>
              <c:f>'2.6'!$A$32:$B$64</c:f>
              <c:multiLvlStrCache>
                <c:ptCount val="3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lvl>
                <c:lvl>
                  <c:pt idx="0">
                    <c:v>2018</c:v>
                  </c:pt>
                  <c:pt idx="4">
                    <c:v>2019</c:v>
                  </c:pt>
                  <c:pt idx="8">
                    <c:v>2020</c:v>
                  </c:pt>
                  <c:pt idx="12">
                    <c:v>2021</c:v>
                  </c:pt>
                  <c:pt idx="16">
                    <c:v>2022</c:v>
                  </c:pt>
                  <c:pt idx="20">
                    <c:v>2023</c:v>
                  </c:pt>
                  <c:pt idx="24">
                    <c:v>2024</c:v>
                  </c:pt>
                  <c:pt idx="28">
                    <c:v>2025</c:v>
                  </c:pt>
                  <c:pt idx="32">
                    <c:v>2026</c:v>
                  </c:pt>
                </c:lvl>
              </c:multiLvlStrCache>
            </c:multiLvlStrRef>
          </c:cat>
          <c:val>
            <c:numRef>
              <c:extLst>
                <c:ext xmlns:c15="http://schemas.microsoft.com/office/drawing/2012/chart" uri="{02D57815-91ED-43cb-92C2-25804820EDAC}">
                  <c15:fullRef>
                    <c15:sqref>'2.6'!$C$12:$C$64</c15:sqref>
                  </c15:fullRef>
                </c:ext>
              </c:extLst>
              <c:f>'2.6'!$C$32:$C$64</c:f>
              <c:numCache>
                <c:formatCode>#,##0.00</c:formatCode>
                <c:ptCount val="33"/>
                <c:pt idx="0">
                  <c:v>2071.34</c:v>
                </c:pt>
                <c:pt idx="1">
                  <c:v>2030.02</c:v>
                </c:pt>
                <c:pt idx="2">
                  <c:v>2014.92</c:v>
                </c:pt>
                <c:pt idx="3">
                  <c:v>1988.02</c:v>
                </c:pt>
                <c:pt idx="4">
                  <c:v>1937.36</c:v>
                </c:pt>
                <c:pt idx="5">
                  <c:v>1849.59</c:v>
                </c:pt>
                <c:pt idx="6">
                  <c:v>1857.88</c:v>
                </c:pt>
                <c:pt idx="7">
                  <c:v>1910.67</c:v>
                </c:pt>
                <c:pt idx="8">
                  <c:v>1929.20325153</c:v>
                </c:pt>
                <c:pt idx="9">
                  <c:v>1951.3869999999999</c:v>
                </c:pt>
                <c:pt idx="10">
                  <c:v>2008.5160000000001</c:v>
                </c:pt>
                <c:pt idx="11">
                  <c:v>2096.2629999999999</c:v>
                </c:pt>
                <c:pt idx="12">
                  <c:v>2151.9810000000002</c:v>
                </c:pt>
                <c:pt idx="13">
                  <c:v>2216.8869000100099</c:v>
                </c:pt>
                <c:pt idx="14">
                  <c:v>2201.7890418902398</c:v>
                </c:pt>
                <c:pt idx="15">
                  <c:v>2233.06580346088</c:v>
                </c:pt>
                <c:pt idx="16">
                  <c:v>2252.3126393623202</c:v>
                </c:pt>
                <c:pt idx="17">
                  <c:v>2160.8518893891801</c:v>
                </c:pt>
                <c:pt idx="18">
                  <c:v>2141.6999370747358</c:v>
                </c:pt>
                <c:pt idx="19">
                  <c:v>1998.73023683769</c:v>
                </c:pt>
                <c:pt idx="20">
                  <c:v>1931.8303225570701</c:v>
                </c:pt>
                <c:pt idx="21">
                  <c:v>1927.57512606501</c:v>
                </c:pt>
                <c:pt idx="22">
                  <c:v>1985.7284783119401</c:v>
                </c:pt>
                <c:pt idx="23">
                  <c:v>2089.4787060538001</c:v>
                </c:pt>
                <c:pt idx="24">
                  <c:v>2096.6180162781802</c:v>
                </c:pt>
                <c:pt idx="25">
                  <c:v>2098.6772668796498</c:v>
                </c:pt>
                <c:pt idx="26">
                  <c:v>2195.2757174643002</c:v>
                </c:pt>
                <c:pt idx="27">
                  <c:v>2204.0774499005702</c:v>
                </c:pt>
                <c:pt idx="28">
                  <c:v>2199.9162107723</c:v>
                </c:pt>
                <c:pt idx="29">
                  <c:v>2269.2740662219162</c:v>
                </c:pt>
                <c:pt idx="30">
                  <c:v>2295.8895621736501</c:v>
                </c:pt>
                <c:pt idx="31">
                  <c:v>2364.47309073936</c:v>
                </c:pt>
                <c:pt idx="32">
                  <c:v>2358.4559107112559</c:v>
                </c:pt>
              </c:numCache>
            </c:numRef>
          </c:val>
          <c:extLst>
            <c:ext xmlns:c15="http://schemas.microsoft.com/office/drawing/2012/chart" uri="{02D57815-91ED-43cb-92C2-25804820EDAC}">
              <c15:categoryFilterExceptions>
                <c15:categoryFilterException>
                  <c15:sqref>'2.6'!$C$16</c15:sqref>
                  <c15:dLbl>
                    <c:idx val="-1"/>
                    <c:delete val="1"/>
                    <c:extLst>
                      <c:ext uri="{CE6537A1-D6FC-4f65-9D91-7224C49458BB}"/>
                      <c:ext xmlns:c16="http://schemas.microsoft.com/office/drawing/2014/chart" uri="{C3380CC4-5D6E-409C-BE32-E72D297353CC}">
                        <c16:uniqueId val="{00000000-35DF-470B-90D7-80892330F4F1}"/>
                      </c:ext>
                    </c:extLst>
                  </c15:dLbl>
                </c15:categoryFilterException>
                <c15:categoryFilterException>
                  <c15:sqref>'2.6'!$C$17</c15:sqref>
                  <c15:dLbl>
                    <c:idx val="-1"/>
                    <c:delete val="1"/>
                    <c:extLst>
                      <c:ext uri="{CE6537A1-D6FC-4f65-9D91-7224C49458BB}"/>
                      <c:ext xmlns:c16="http://schemas.microsoft.com/office/drawing/2014/chart" uri="{C3380CC4-5D6E-409C-BE32-E72D297353CC}">
                        <c16:uniqueId val="{00000001-35DF-470B-90D7-80892330F4F1}"/>
                      </c:ext>
                    </c:extLst>
                  </c15:dLbl>
                </c15:categoryFilterException>
                <c15:categoryFilterException>
                  <c15:sqref>'2.6'!$C$18</c15:sqref>
                  <c15:dLbl>
                    <c:idx val="-1"/>
                    <c:delete val="1"/>
                    <c:extLst>
                      <c:ext uri="{CE6537A1-D6FC-4f65-9D91-7224C49458BB}"/>
                      <c:ext xmlns:c16="http://schemas.microsoft.com/office/drawing/2014/chart" uri="{C3380CC4-5D6E-409C-BE32-E72D297353CC}">
                        <c16:uniqueId val="{00000002-35DF-470B-90D7-80892330F4F1}"/>
                      </c:ext>
                    </c:extLst>
                  </c15:dLbl>
                </c15:categoryFilterException>
                <c15:categoryFilterException>
                  <c15:sqref>'2.6'!$C$19</c15:sqref>
                  <c15:dLbl>
                    <c:idx val="-1"/>
                    <c:delete val="1"/>
                    <c:extLst>
                      <c:ext uri="{CE6537A1-D6FC-4f65-9D91-7224C49458BB}"/>
                      <c:ext xmlns:c16="http://schemas.microsoft.com/office/drawing/2014/chart" uri="{C3380CC4-5D6E-409C-BE32-E72D297353CC}">
                        <c16:uniqueId val="{00000003-35DF-470B-90D7-80892330F4F1}"/>
                      </c:ext>
                    </c:extLst>
                  </c15:dLbl>
                </c15:categoryFilterException>
                <c15:categoryFilterException>
                  <c15:sqref>'2.6'!$C$20</c15:sqref>
                  <c15:dLbl>
                    <c:idx val="-1"/>
                    <c:delete val="1"/>
                    <c:extLst>
                      <c:ext uri="{CE6537A1-D6FC-4f65-9D91-7224C49458BB}"/>
                      <c:ext xmlns:c16="http://schemas.microsoft.com/office/drawing/2014/chart" uri="{C3380CC4-5D6E-409C-BE32-E72D297353CC}">
                        <c16:uniqueId val="{00000004-35DF-470B-90D7-80892330F4F1}"/>
                      </c:ext>
                    </c:extLst>
                  </c15:dLbl>
                </c15:categoryFilterException>
                <c15:categoryFilterException>
                  <c15:sqref>'2.6'!$C$21</c15:sqref>
                  <c15:dLbl>
                    <c:idx val="-1"/>
                    <c:delete val="1"/>
                    <c:extLst>
                      <c:ext uri="{CE6537A1-D6FC-4f65-9D91-7224C49458BB}"/>
                      <c:ext xmlns:c16="http://schemas.microsoft.com/office/drawing/2014/chart" uri="{C3380CC4-5D6E-409C-BE32-E72D297353CC}">
                        <c16:uniqueId val="{00000005-35DF-470B-90D7-80892330F4F1}"/>
                      </c:ext>
                    </c:extLst>
                  </c15:dLbl>
                </c15:categoryFilterException>
                <c15:categoryFilterException>
                  <c15:sqref>'2.6'!$C$22</c15:sqref>
                  <c15:dLbl>
                    <c:idx val="-1"/>
                    <c:delete val="1"/>
                    <c:extLst>
                      <c:ext uri="{CE6537A1-D6FC-4f65-9D91-7224C49458BB}"/>
                      <c:ext xmlns:c16="http://schemas.microsoft.com/office/drawing/2014/chart" uri="{C3380CC4-5D6E-409C-BE32-E72D297353CC}">
                        <c16:uniqueId val="{00000006-35DF-470B-90D7-80892330F4F1}"/>
                      </c:ext>
                    </c:extLst>
                  </c15:dLbl>
                </c15:categoryFilterException>
                <c15:categoryFilterException>
                  <c15:sqref>'2.6'!$C$23</c15:sqref>
                  <c15:dLbl>
                    <c:idx val="-1"/>
                    <c:delete val="1"/>
                    <c:extLst>
                      <c:ext uri="{CE6537A1-D6FC-4f65-9D91-7224C49458BB}"/>
                      <c:ext xmlns:c16="http://schemas.microsoft.com/office/drawing/2014/chart" uri="{C3380CC4-5D6E-409C-BE32-E72D297353CC}">
                        <c16:uniqueId val="{00000007-35DF-470B-90D7-80892330F4F1}"/>
                      </c:ext>
                    </c:extLst>
                  </c15:dLbl>
                </c15:categoryFilterException>
                <c15:categoryFilterException>
                  <c15:sqref>'2.6'!$C$24</c15:sqref>
                  <c15:dLbl>
                    <c:idx val="-1"/>
                    <c:delete val="1"/>
                    <c:extLst>
                      <c:ext uri="{CE6537A1-D6FC-4f65-9D91-7224C49458BB}"/>
                      <c:ext xmlns:c16="http://schemas.microsoft.com/office/drawing/2014/chart" uri="{C3380CC4-5D6E-409C-BE32-E72D297353CC}">
                        <c16:uniqueId val="{00000008-35DF-470B-90D7-80892330F4F1}"/>
                      </c:ext>
                    </c:extLst>
                  </c15:dLbl>
                </c15:categoryFilterException>
                <c15:categoryFilterException>
                  <c15:sqref>'2.6'!$C$25</c15:sqref>
                  <c15:dLbl>
                    <c:idx val="-1"/>
                    <c:delete val="1"/>
                    <c:extLst>
                      <c:ext uri="{CE6537A1-D6FC-4f65-9D91-7224C49458BB}"/>
                      <c:ext xmlns:c16="http://schemas.microsoft.com/office/drawing/2014/chart" uri="{C3380CC4-5D6E-409C-BE32-E72D297353CC}">
                        <c16:uniqueId val="{00000009-35DF-470B-90D7-80892330F4F1}"/>
                      </c:ext>
                    </c:extLst>
                  </c15:dLbl>
                </c15:categoryFilterException>
                <c15:categoryFilterException>
                  <c15:sqref>'2.6'!$C$26</c15:sqref>
                  <c15:dLbl>
                    <c:idx val="-1"/>
                    <c:delete val="1"/>
                    <c:extLst>
                      <c:ext uri="{CE6537A1-D6FC-4f65-9D91-7224C49458BB}"/>
                      <c:ext xmlns:c16="http://schemas.microsoft.com/office/drawing/2014/chart" uri="{C3380CC4-5D6E-409C-BE32-E72D297353CC}">
                        <c16:uniqueId val="{0000000A-35DF-470B-90D7-80892330F4F1}"/>
                      </c:ext>
                    </c:extLst>
                  </c15:dLbl>
                </c15:categoryFilterException>
                <c15:categoryFilterException>
                  <c15:sqref>'2.6'!$C$27</c15:sqref>
                  <c15:dLbl>
                    <c:idx val="-1"/>
                    <c:delete val="1"/>
                    <c:extLst>
                      <c:ext uri="{CE6537A1-D6FC-4f65-9D91-7224C49458BB}"/>
                      <c:ext xmlns:c16="http://schemas.microsoft.com/office/drawing/2014/chart" uri="{C3380CC4-5D6E-409C-BE32-E72D297353CC}">
                        <c16:uniqueId val="{0000000B-35DF-470B-90D7-80892330F4F1}"/>
                      </c:ext>
                    </c:extLst>
                  </c15:dLbl>
                </c15:categoryFilterException>
                <c15:categoryFilterException>
                  <c15:sqref>'2.6'!$C$28</c15:sqref>
                  <c15:dLbl>
                    <c:idx val="-1"/>
                    <c:delete val="1"/>
                    <c:extLst>
                      <c:ext uri="{CE6537A1-D6FC-4f65-9D91-7224C49458BB}"/>
                      <c:ext xmlns:c16="http://schemas.microsoft.com/office/drawing/2014/chart" uri="{C3380CC4-5D6E-409C-BE32-E72D297353CC}">
                        <c16:uniqueId val="{0000000C-35DF-470B-90D7-80892330F4F1}"/>
                      </c:ext>
                    </c:extLst>
                  </c15:dLbl>
                </c15:categoryFilterException>
                <c15:categoryFilterException>
                  <c15:sqref>'2.6'!$C$29</c15:sqref>
                  <c15:dLbl>
                    <c:idx val="-1"/>
                    <c:delete val="1"/>
                    <c:extLst>
                      <c:ext uri="{CE6537A1-D6FC-4f65-9D91-7224C49458BB}"/>
                      <c:ext xmlns:c16="http://schemas.microsoft.com/office/drawing/2014/chart" uri="{C3380CC4-5D6E-409C-BE32-E72D297353CC}">
                        <c16:uniqueId val="{0000000D-35DF-470B-90D7-80892330F4F1}"/>
                      </c:ext>
                    </c:extLst>
                  </c15:dLbl>
                </c15:categoryFilterException>
                <c15:categoryFilterException>
                  <c15:sqref>'2.6'!$C$30</c15:sqref>
                  <c15:dLbl>
                    <c:idx val="-1"/>
                    <c:delete val="1"/>
                    <c:extLst>
                      <c:ext uri="{CE6537A1-D6FC-4f65-9D91-7224C49458BB}"/>
                      <c:ext xmlns:c16="http://schemas.microsoft.com/office/drawing/2014/chart" uri="{C3380CC4-5D6E-409C-BE32-E72D297353CC}">
                        <c16:uniqueId val="{0000000E-35DF-470B-90D7-80892330F4F1}"/>
                      </c:ext>
                    </c:extLst>
                  </c15:dLbl>
                </c15:categoryFilterException>
                <c15:categoryFilterException>
                  <c15:sqref>'2.6'!$C$31</c15:sqref>
                  <c15:dLbl>
                    <c:idx val="-1"/>
                    <c:delete val="1"/>
                    <c:extLst>
                      <c:ext uri="{CE6537A1-D6FC-4f65-9D91-7224C49458BB}"/>
                      <c:ext xmlns:c16="http://schemas.microsoft.com/office/drawing/2014/chart" uri="{C3380CC4-5D6E-409C-BE32-E72D297353CC}">
                        <c16:uniqueId val="{0000000F-35DF-470B-90D7-80892330F4F1}"/>
                      </c:ext>
                    </c:extLst>
                  </c15:dLbl>
                </c15:categoryFilterException>
              </c15:categoryFilterExceptions>
            </c:ext>
            <c:ext xmlns:c16="http://schemas.microsoft.com/office/drawing/2014/chart" uri="{C3380CC4-5D6E-409C-BE32-E72D297353CC}">
              <c16:uniqueId val="{00000019-A970-4050-9935-02DCB2176CEC}"/>
            </c:ext>
          </c:extLst>
        </c:ser>
        <c:ser>
          <c:idx val="1"/>
          <c:order val="1"/>
          <c:tx>
            <c:v>Deposits</c:v>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8-0AB4-478F-83CE-CD28BF750235}"/>
                </c:ext>
              </c:extLst>
            </c:dLbl>
            <c:dLbl>
              <c:idx val="1"/>
              <c:delete val="1"/>
              <c:extLst>
                <c:ext xmlns:c15="http://schemas.microsoft.com/office/drawing/2012/chart" uri="{CE6537A1-D6FC-4f65-9D91-7224C49458BB}"/>
                <c:ext xmlns:c16="http://schemas.microsoft.com/office/drawing/2014/chart" uri="{C3380CC4-5D6E-409C-BE32-E72D297353CC}">
                  <c16:uniqueId val="{0000001A-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19-0AB4-478F-83CE-CD28BF750235}"/>
                </c:ext>
              </c:extLst>
            </c:dLbl>
            <c:dLbl>
              <c:idx val="3"/>
              <c:delete val="1"/>
              <c:extLst>
                <c:ext xmlns:c15="http://schemas.microsoft.com/office/drawing/2012/chart" uri="{CE6537A1-D6FC-4f65-9D91-7224C49458BB}"/>
                <c:ext xmlns:c16="http://schemas.microsoft.com/office/drawing/2014/chart" uri="{C3380CC4-5D6E-409C-BE32-E72D297353CC}">
                  <c16:uniqueId val="{0000001A-0AB4-478F-83CE-CD28BF750235}"/>
                </c:ext>
              </c:extLst>
            </c:dLbl>
            <c:dLbl>
              <c:idx val="4"/>
              <c:delete val="1"/>
              <c:extLst>
                <c:ext xmlns:c15="http://schemas.microsoft.com/office/drawing/2012/chart" uri="{CE6537A1-D6FC-4f65-9D91-7224C49458BB}"/>
                <c:ext xmlns:c16="http://schemas.microsoft.com/office/drawing/2014/chart" uri="{C3380CC4-5D6E-409C-BE32-E72D297353CC}">
                  <c16:uniqueId val="{00000001-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2-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D-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D-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D-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D-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D-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9-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8-E1CF-491E-95C3-AB1999261A66}"/>
                </c:ext>
              </c:extLst>
            </c:dLbl>
            <c:dLbl>
              <c:idx val="13"/>
              <c:delete val="1"/>
              <c:extLst>
                <c:ext xmlns:c15="http://schemas.microsoft.com/office/drawing/2012/chart" uri="{CE6537A1-D6FC-4f65-9D91-7224C49458BB}"/>
                <c:ext xmlns:c16="http://schemas.microsoft.com/office/drawing/2014/chart" uri="{C3380CC4-5D6E-409C-BE32-E72D297353CC}">
                  <c16:uniqueId val="{0000001A-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9-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C-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5-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5-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5-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5-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9-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6-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6-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5-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7-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5-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4-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5-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4-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2-2C77-4520-B5BC-61C185FEB790}"/>
                </c:ext>
              </c:extLst>
            </c:dLbl>
            <c:dLbl>
              <c:idx val="30"/>
              <c:delete val="1"/>
              <c:extLst>
                <c:ext xmlns:c15="http://schemas.microsoft.com/office/drawing/2012/chart" uri="{CE6537A1-D6FC-4f65-9D91-7224C49458BB}"/>
                <c:ext xmlns:c16="http://schemas.microsoft.com/office/drawing/2014/chart" uri="{C3380CC4-5D6E-409C-BE32-E72D297353CC}">
                  <c16:uniqueId val="{00000032-9D7C-4E05-800F-DCC869386AB4}"/>
                </c:ext>
              </c:extLst>
            </c:dLbl>
            <c:dLbl>
              <c:idx val="31"/>
              <c:delete val="1"/>
              <c:extLst>
                <c:ext xmlns:c15="http://schemas.microsoft.com/office/drawing/2012/chart" uri="{CE6537A1-D6FC-4f65-9D91-7224C49458BB}"/>
                <c:ext xmlns:c16="http://schemas.microsoft.com/office/drawing/2014/chart" uri="{C3380CC4-5D6E-409C-BE32-E72D297353CC}">
                  <c16:uniqueId val="{00000031-79DC-4AF1-BF58-07301F3C4C86}"/>
                </c:ext>
              </c:extLst>
            </c:dLbl>
            <c:dLbl>
              <c:idx val="32"/>
              <c:layout>
                <c:manualLayout>
                  <c:x val="-8.2600157018495962E-2"/>
                  <c:y val="-0.11043776346138551"/>
                </c:manualLayout>
              </c:layout>
              <c:spPr>
                <a:noFill/>
                <a:ln>
                  <a:noFill/>
                </a:ln>
                <a:effectLst/>
              </c:spPr>
              <c:txPr>
                <a:bodyPr wrap="square" lIns="38100" tIns="19050" rIns="38100" bIns="19050" anchor="ctr">
                  <a:no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7.7135913362735814E-2"/>
                      <c:h val="2.907070707070707E-2"/>
                    </c:manualLayout>
                  </c15:layout>
                </c:ext>
                <c:ext xmlns:c16="http://schemas.microsoft.com/office/drawing/2014/chart" uri="{C3380CC4-5D6E-409C-BE32-E72D297353CC}">
                  <c16:uniqueId val="{00000030-D6C6-4D57-B8D3-A99BF8A2F6DF}"/>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'2.6'!$A$12:$B$64</c15:sqref>
                  </c15:fullRef>
                </c:ext>
              </c:extLst>
              <c:f>'2.6'!$A$32:$B$64</c:f>
              <c:multiLvlStrCache>
                <c:ptCount val="3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lvl>
                <c:lvl>
                  <c:pt idx="0">
                    <c:v>2018</c:v>
                  </c:pt>
                  <c:pt idx="4">
                    <c:v>2019</c:v>
                  </c:pt>
                  <c:pt idx="8">
                    <c:v>2020</c:v>
                  </c:pt>
                  <c:pt idx="12">
                    <c:v>2021</c:v>
                  </c:pt>
                  <c:pt idx="16">
                    <c:v>2022</c:v>
                  </c:pt>
                  <c:pt idx="20">
                    <c:v>2023</c:v>
                  </c:pt>
                  <c:pt idx="24">
                    <c:v>2024</c:v>
                  </c:pt>
                  <c:pt idx="28">
                    <c:v>2025</c:v>
                  </c:pt>
                  <c:pt idx="32">
                    <c:v>2026</c:v>
                  </c:pt>
                </c:lvl>
              </c:multiLvlStrCache>
            </c:multiLvlStrRef>
          </c:cat>
          <c:val>
            <c:numRef>
              <c:extLst>
                <c:ext xmlns:c15="http://schemas.microsoft.com/office/drawing/2012/chart" uri="{02D57815-91ED-43cb-92C2-25804820EDAC}">
                  <c15:fullRef>
                    <c15:sqref>'2.6'!$D$12:$D$64</c15:sqref>
                  </c15:fullRef>
                </c:ext>
              </c:extLst>
              <c:f>'2.6'!$D$32:$D$64</c:f>
              <c:numCache>
                <c:formatCode>#,##0.00</c:formatCode>
                <c:ptCount val="33"/>
                <c:pt idx="0">
                  <c:v>1764.58</c:v>
                </c:pt>
                <c:pt idx="1">
                  <c:v>1714.83</c:v>
                </c:pt>
                <c:pt idx="2">
                  <c:v>1687.31</c:v>
                </c:pt>
                <c:pt idx="3">
                  <c:v>1661.02</c:v>
                </c:pt>
                <c:pt idx="4">
                  <c:v>1592.75</c:v>
                </c:pt>
                <c:pt idx="5">
                  <c:v>1511.3</c:v>
                </c:pt>
                <c:pt idx="6">
                  <c:v>1500.42</c:v>
                </c:pt>
                <c:pt idx="7">
                  <c:v>1572</c:v>
                </c:pt>
                <c:pt idx="8">
                  <c:v>1581.3383874599997</c:v>
                </c:pt>
                <c:pt idx="9">
                  <c:v>1662.952</c:v>
                </c:pt>
                <c:pt idx="10">
                  <c:v>1708.1659999999999</c:v>
                </c:pt>
                <c:pt idx="11">
                  <c:v>1784.0909999999999</c:v>
                </c:pt>
                <c:pt idx="12">
                  <c:v>1838.2559999999999</c:v>
                </c:pt>
                <c:pt idx="13">
                  <c:v>1907.20196839</c:v>
                </c:pt>
                <c:pt idx="14">
                  <c:v>1905.59700023</c:v>
                </c:pt>
                <c:pt idx="15">
                  <c:v>1918.12581907</c:v>
                </c:pt>
                <c:pt idx="16">
                  <c:v>1929.3469489500001</c:v>
                </c:pt>
                <c:pt idx="17">
                  <c:v>1838.14493247</c:v>
                </c:pt>
                <c:pt idx="18">
                  <c:v>1817.6400520899997</c:v>
                </c:pt>
                <c:pt idx="19">
                  <c:v>1635.06806095</c:v>
                </c:pt>
                <c:pt idx="20">
                  <c:v>1573.0235080099999</c:v>
                </c:pt>
                <c:pt idx="21">
                  <c:v>1602.6167865899999</c:v>
                </c:pt>
                <c:pt idx="22">
                  <c:v>1658.0621748399999</c:v>
                </c:pt>
                <c:pt idx="23">
                  <c:v>1733.6065491700001</c:v>
                </c:pt>
                <c:pt idx="24">
                  <c:v>1735.73548822</c:v>
                </c:pt>
                <c:pt idx="25">
                  <c:v>1754.27282769</c:v>
                </c:pt>
                <c:pt idx="26">
                  <c:v>1837.58538462</c:v>
                </c:pt>
                <c:pt idx="27">
                  <c:v>1818.67776157</c:v>
                </c:pt>
                <c:pt idx="28">
                  <c:v>1833.94973802</c:v>
                </c:pt>
                <c:pt idx="29">
                  <c:v>1919.7751914800001</c:v>
                </c:pt>
                <c:pt idx="30">
                  <c:v>1950.1925199499999</c:v>
                </c:pt>
                <c:pt idx="31">
                  <c:v>2006.2240188000001</c:v>
                </c:pt>
                <c:pt idx="32">
                  <c:v>1983.9235463669468</c:v>
                </c:pt>
              </c:numCache>
            </c:numRef>
          </c:val>
          <c:extLst>
            <c:ext xmlns:c15="http://schemas.microsoft.com/office/drawing/2012/chart" uri="{02D57815-91ED-43cb-92C2-25804820EDAC}">
              <c15:categoryFilterExceptions>
                <c15:categoryFilterException>
                  <c15:sqref>'2.6'!$D$16</c15:sqref>
                  <c15:dLbl>
                    <c:idx val="-1"/>
                    <c:delete val="1"/>
                    <c:extLst>
                      <c:ext uri="{CE6537A1-D6FC-4f65-9D91-7224C49458BB}"/>
                      <c:ext xmlns:c16="http://schemas.microsoft.com/office/drawing/2014/chart" uri="{C3380CC4-5D6E-409C-BE32-E72D297353CC}">
                        <c16:uniqueId val="{00000010-35DF-470B-90D7-80892330F4F1}"/>
                      </c:ext>
                    </c:extLst>
                  </c15:dLbl>
                </c15:categoryFilterException>
                <c15:categoryFilterException>
                  <c15:sqref>'2.6'!$D$17</c15:sqref>
                  <c15:dLbl>
                    <c:idx val="-1"/>
                    <c:delete val="1"/>
                    <c:extLst>
                      <c:ext uri="{CE6537A1-D6FC-4f65-9D91-7224C49458BB}"/>
                      <c:ext xmlns:c16="http://schemas.microsoft.com/office/drawing/2014/chart" uri="{C3380CC4-5D6E-409C-BE32-E72D297353CC}">
                        <c16:uniqueId val="{00000011-35DF-470B-90D7-80892330F4F1}"/>
                      </c:ext>
                    </c:extLst>
                  </c15:dLbl>
                </c15:categoryFilterException>
                <c15:categoryFilterException>
                  <c15:sqref>'2.6'!$D$18</c15:sqref>
                  <c15:dLbl>
                    <c:idx val="-1"/>
                    <c:delete val="1"/>
                    <c:extLst>
                      <c:ext uri="{CE6537A1-D6FC-4f65-9D91-7224C49458BB}"/>
                      <c:ext xmlns:c16="http://schemas.microsoft.com/office/drawing/2014/chart" uri="{C3380CC4-5D6E-409C-BE32-E72D297353CC}">
                        <c16:uniqueId val="{00000012-35DF-470B-90D7-80892330F4F1}"/>
                      </c:ext>
                    </c:extLst>
                  </c15:dLbl>
                </c15:categoryFilterException>
                <c15:categoryFilterException>
                  <c15:sqref>'2.6'!$D$19</c15:sqref>
                  <c15:dLbl>
                    <c:idx val="-1"/>
                    <c:delete val="1"/>
                    <c:extLst>
                      <c:ext uri="{CE6537A1-D6FC-4f65-9D91-7224C49458BB}"/>
                      <c:ext xmlns:c16="http://schemas.microsoft.com/office/drawing/2014/chart" uri="{C3380CC4-5D6E-409C-BE32-E72D297353CC}">
                        <c16:uniqueId val="{00000013-35DF-470B-90D7-80892330F4F1}"/>
                      </c:ext>
                    </c:extLst>
                  </c15:dLbl>
                </c15:categoryFilterException>
                <c15:categoryFilterException>
                  <c15:sqref>'2.6'!$D$20</c15:sqref>
                  <c15:dLbl>
                    <c:idx val="-1"/>
                    <c:delete val="1"/>
                    <c:extLst>
                      <c:ext uri="{CE6537A1-D6FC-4f65-9D91-7224C49458BB}"/>
                      <c:ext xmlns:c16="http://schemas.microsoft.com/office/drawing/2014/chart" uri="{C3380CC4-5D6E-409C-BE32-E72D297353CC}">
                        <c16:uniqueId val="{00000014-35DF-470B-90D7-80892330F4F1}"/>
                      </c:ext>
                    </c:extLst>
                  </c15:dLbl>
                </c15:categoryFilterException>
                <c15:categoryFilterException>
                  <c15:sqref>'2.6'!$D$21</c15:sqref>
                  <c15:dLbl>
                    <c:idx val="-1"/>
                    <c:delete val="1"/>
                    <c:extLst>
                      <c:ext uri="{CE6537A1-D6FC-4f65-9D91-7224C49458BB}"/>
                      <c:ext xmlns:c16="http://schemas.microsoft.com/office/drawing/2014/chart" uri="{C3380CC4-5D6E-409C-BE32-E72D297353CC}">
                        <c16:uniqueId val="{00000015-35DF-470B-90D7-80892330F4F1}"/>
                      </c:ext>
                    </c:extLst>
                  </c15:dLbl>
                </c15:categoryFilterException>
                <c15:categoryFilterException>
                  <c15:sqref>'2.6'!$D$22</c15:sqref>
                  <c15:dLbl>
                    <c:idx val="-1"/>
                    <c:delete val="1"/>
                    <c:extLst>
                      <c:ext uri="{CE6537A1-D6FC-4f65-9D91-7224C49458BB}"/>
                      <c:ext xmlns:c16="http://schemas.microsoft.com/office/drawing/2014/chart" uri="{C3380CC4-5D6E-409C-BE32-E72D297353CC}">
                        <c16:uniqueId val="{00000016-35DF-470B-90D7-80892330F4F1}"/>
                      </c:ext>
                    </c:extLst>
                  </c15:dLbl>
                </c15:categoryFilterException>
                <c15:categoryFilterException>
                  <c15:sqref>'2.6'!$D$23</c15:sqref>
                  <c15:dLbl>
                    <c:idx val="-1"/>
                    <c:delete val="1"/>
                    <c:extLst>
                      <c:ext uri="{CE6537A1-D6FC-4f65-9D91-7224C49458BB}"/>
                      <c:ext xmlns:c16="http://schemas.microsoft.com/office/drawing/2014/chart" uri="{C3380CC4-5D6E-409C-BE32-E72D297353CC}">
                        <c16:uniqueId val="{00000017-35DF-470B-90D7-80892330F4F1}"/>
                      </c:ext>
                    </c:extLst>
                  </c15:dLbl>
                </c15:categoryFilterException>
                <c15:categoryFilterException>
                  <c15:sqref>'2.6'!$D$24</c15:sqref>
                  <c15:dLbl>
                    <c:idx val="-1"/>
                    <c:delete val="1"/>
                    <c:extLst>
                      <c:ext uri="{CE6537A1-D6FC-4f65-9D91-7224C49458BB}"/>
                      <c:ext xmlns:c16="http://schemas.microsoft.com/office/drawing/2014/chart" uri="{C3380CC4-5D6E-409C-BE32-E72D297353CC}">
                        <c16:uniqueId val="{00000018-35DF-470B-90D7-80892330F4F1}"/>
                      </c:ext>
                    </c:extLst>
                  </c15:dLbl>
                </c15:categoryFilterException>
                <c15:categoryFilterException>
                  <c15:sqref>'2.6'!$D$25</c15:sqref>
                  <c15:dLbl>
                    <c:idx val="-1"/>
                    <c:delete val="1"/>
                    <c:extLst>
                      <c:ext uri="{CE6537A1-D6FC-4f65-9D91-7224C49458BB}"/>
                      <c:ext xmlns:c16="http://schemas.microsoft.com/office/drawing/2014/chart" uri="{C3380CC4-5D6E-409C-BE32-E72D297353CC}">
                        <c16:uniqueId val="{00000019-35DF-470B-90D7-80892330F4F1}"/>
                      </c:ext>
                    </c:extLst>
                  </c15:dLbl>
                </c15:categoryFilterException>
                <c15:categoryFilterException>
                  <c15:sqref>'2.6'!$D$26</c15:sqref>
                  <c15:dLbl>
                    <c:idx val="-1"/>
                    <c:delete val="1"/>
                    <c:extLst>
                      <c:ext uri="{CE6537A1-D6FC-4f65-9D91-7224C49458BB}"/>
                      <c:ext xmlns:c16="http://schemas.microsoft.com/office/drawing/2014/chart" uri="{C3380CC4-5D6E-409C-BE32-E72D297353CC}">
                        <c16:uniqueId val="{0000001A-35DF-470B-90D7-80892330F4F1}"/>
                      </c:ext>
                    </c:extLst>
                  </c15:dLbl>
                </c15:categoryFilterException>
                <c15:categoryFilterException>
                  <c15:sqref>'2.6'!$D$27</c15:sqref>
                  <c15:dLbl>
                    <c:idx val="-1"/>
                    <c:delete val="1"/>
                    <c:extLst>
                      <c:ext uri="{CE6537A1-D6FC-4f65-9D91-7224C49458BB}"/>
                      <c:ext xmlns:c16="http://schemas.microsoft.com/office/drawing/2014/chart" uri="{C3380CC4-5D6E-409C-BE32-E72D297353CC}">
                        <c16:uniqueId val="{0000001B-35DF-470B-90D7-80892330F4F1}"/>
                      </c:ext>
                    </c:extLst>
                  </c15:dLbl>
                </c15:categoryFilterException>
                <c15:categoryFilterException>
                  <c15:sqref>'2.6'!$D$28</c15:sqref>
                  <c15:dLbl>
                    <c:idx val="-1"/>
                    <c:delete val="1"/>
                    <c:extLst>
                      <c:ext uri="{CE6537A1-D6FC-4f65-9D91-7224C49458BB}"/>
                      <c:ext xmlns:c16="http://schemas.microsoft.com/office/drawing/2014/chart" uri="{C3380CC4-5D6E-409C-BE32-E72D297353CC}">
                        <c16:uniqueId val="{0000001C-35DF-470B-90D7-80892330F4F1}"/>
                      </c:ext>
                    </c:extLst>
                  </c15:dLbl>
                </c15:categoryFilterException>
                <c15:categoryFilterException>
                  <c15:sqref>'2.6'!$D$29</c15:sqref>
                  <c15:dLbl>
                    <c:idx val="-1"/>
                    <c:delete val="1"/>
                    <c:extLst>
                      <c:ext uri="{CE6537A1-D6FC-4f65-9D91-7224C49458BB}"/>
                      <c:ext xmlns:c16="http://schemas.microsoft.com/office/drawing/2014/chart" uri="{C3380CC4-5D6E-409C-BE32-E72D297353CC}">
                        <c16:uniqueId val="{0000001D-35DF-470B-90D7-80892330F4F1}"/>
                      </c:ext>
                    </c:extLst>
                  </c15:dLbl>
                </c15:categoryFilterException>
                <c15:categoryFilterException>
                  <c15:sqref>'2.6'!$D$30</c15:sqref>
                  <c15:dLbl>
                    <c:idx val="-1"/>
                    <c:delete val="1"/>
                    <c:extLst>
                      <c:ext uri="{CE6537A1-D6FC-4f65-9D91-7224C49458BB}"/>
                      <c:ext xmlns:c16="http://schemas.microsoft.com/office/drawing/2014/chart" uri="{C3380CC4-5D6E-409C-BE32-E72D297353CC}">
                        <c16:uniqueId val="{0000001E-35DF-470B-90D7-80892330F4F1}"/>
                      </c:ext>
                    </c:extLst>
                  </c15:dLbl>
                </c15:categoryFilterException>
                <c15:categoryFilterException>
                  <c15:sqref>'2.6'!$D$31</c15:sqref>
                  <c15:dLbl>
                    <c:idx val="-1"/>
                    <c:delete val="1"/>
                    <c:extLst>
                      <c:ext uri="{CE6537A1-D6FC-4f65-9D91-7224C49458BB}"/>
                      <c:ext xmlns:c16="http://schemas.microsoft.com/office/drawing/2014/chart" uri="{C3380CC4-5D6E-409C-BE32-E72D297353CC}">
                        <c16:uniqueId val="{0000001F-35DF-470B-90D7-80892330F4F1}"/>
                      </c:ext>
                    </c:extLst>
                  </c15:dLbl>
                </c15:categoryFilterException>
              </c15:categoryFilterExceptions>
            </c:ext>
            <c:ext xmlns:c16="http://schemas.microsoft.com/office/drawing/2014/chart" uri="{C3380CC4-5D6E-409C-BE32-E72D297353CC}">
              <c16:uniqueId val="{0000001B-A970-4050-9935-02DCB2176CEC}"/>
            </c:ext>
          </c:extLst>
        </c:ser>
        <c:ser>
          <c:idx val="2"/>
          <c:order val="2"/>
          <c:tx>
            <c:strRef>
              <c:f>'2.6'!$E$3</c:f>
              <c:strCache>
                <c:ptCount val="1"/>
                <c:pt idx="0">
                  <c:v>Loans/Financing</c:v>
                </c:pt>
              </c:strCache>
            </c:strRef>
          </c:tx>
          <c:spPr>
            <a:solidFill>
              <a:schemeClr val="tx1">
                <a:lumMod val="50000"/>
                <a:lumOff val="50000"/>
              </a:schemeClr>
            </a:solidFill>
            <a:ln>
              <a:solidFill>
                <a:schemeClr val="tx1">
                  <a:lumMod val="50000"/>
                  <a:lumOff val="50000"/>
                </a:scheme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0-A970-4050-9935-02DCB2176CEC}"/>
                </c:ext>
              </c:extLst>
            </c:dLbl>
            <c:dLbl>
              <c:idx val="1"/>
              <c:delete val="1"/>
              <c:extLst>
                <c:ext xmlns:c15="http://schemas.microsoft.com/office/drawing/2012/chart" uri="{CE6537A1-D6FC-4f65-9D91-7224C49458BB}"/>
                <c:ext xmlns:c16="http://schemas.microsoft.com/office/drawing/2014/chart" uri="{C3380CC4-5D6E-409C-BE32-E72D297353CC}">
                  <c16:uniqueId val="{00000031-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32-A970-4050-9935-02DCB2176CEC}"/>
                </c:ext>
              </c:extLst>
            </c:dLbl>
            <c:dLbl>
              <c:idx val="3"/>
              <c:delete val="1"/>
              <c:extLst>
                <c:ext xmlns:c15="http://schemas.microsoft.com/office/drawing/2012/chart" uri="{CE6537A1-D6FC-4f65-9D91-7224C49458BB}"/>
                <c:ext xmlns:c16="http://schemas.microsoft.com/office/drawing/2014/chart" uri="{C3380CC4-5D6E-409C-BE32-E72D297353CC}">
                  <c16:uniqueId val="{00000033-A970-4050-9935-02DCB2176CEC}"/>
                </c:ext>
              </c:extLst>
            </c:dLbl>
            <c:dLbl>
              <c:idx val="4"/>
              <c:delete val="1"/>
              <c:extLst>
                <c:ext xmlns:c15="http://schemas.microsoft.com/office/drawing/2012/chart" uri="{CE6537A1-D6FC-4f65-9D91-7224C49458BB}"/>
                <c:ext xmlns:c16="http://schemas.microsoft.com/office/drawing/2014/chart" uri="{C3380CC4-5D6E-409C-BE32-E72D297353CC}">
                  <c16:uniqueId val="{00000000-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1-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C-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E-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E-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E-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E-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A-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9-0025-4696-8C61-7596577D10F8}"/>
                </c:ext>
              </c:extLst>
            </c:dLbl>
            <c:dLbl>
              <c:idx val="13"/>
              <c:delete val="1"/>
              <c:extLst>
                <c:ext xmlns:c15="http://schemas.microsoft.com/office/drawing/2012/chart" uri="{CE6537A1-D6FC-4f65-9D91-7224C49458BB}"/>
                <c:ext xmlns:c16="http://schemas.microsoft.com/office/drawing/2014/chart" uri="{C3380CC4-5D6E-409C-BE32-E72D297353CC}">
                  <c16:uniqueId val="{00000018-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8-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B-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4-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6-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6-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4-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7-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5-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5-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6-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6-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4-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5-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4-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5-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0-2C77-4520-B5BC-61C185FEB790}"/>
                </c:ext>
              </c:extLst>
            </c:dLbl>
            <c:dLbl>
              <c:idx val="30"/>
              <c:delete val="1"/>
              <c:extLst>
                <c:ext xmlns:c15="http://schemas.microsoft.com/office/drawing/2012/chart" uri="{CE6537A1-D6FC-4f65-9D91-7224C49458BB}"/>
                <c:ext xmlns:c16="http://schemas.microsoft.com/office/drawing/2014/chart" uri="{C3380CC4-5D6E-409C-BE32-E72D297353CC}">
                  <c16:uniqueId val="{00000030-9D7C-4E05-800F-DCC869386AB4}"/>
                </c:ext>
              </c:extLst>
            </c:dLbl>
            <c:dLbl>
              <c:idx val="31"/>
              <c:delete val="1"/>
              <c:extLst>
                <c:ext xmlns:c15="http://schemas.microsoft.com/office/drawing/2012/chart" uri="{CE6537A1-D6FC-4f65-9D91-7224C49458BB}"/>
                <c:ext xmlns:c16="http://schemas.microsoft.com/office/drawing/2014/chart" uri="{C3380CC4-5D6E-409C-BE32-E72D297353CC}">
                  <c16:uniqueId val="{00000032-79DC-4AF1-BF58-07301F3C4C86}"/>
                </c:ext>
              </c:extLst>
            </c:dLbl>
            <c:dLbl>
              <c:idx val="32"/>
              <c:layout>
                <c:manualLayout>
                  <c:x val="-0.13880746761493523"/>
                  <c:y val="-0.1030303030303030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6C6-4D57-B8D3-A99BF8A2F6DF}"/>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'2.6'!$A$12:$B$64</c15:sqref>
                  </c15:fullRef>
                </c:ext>
              </c:extLst>
              <c:f>'2.6'!$A$32:$B$64</c:f>
              <c:multiLvlStrCache>
                <c:ptCount val="3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lvl>
                <c:lvl>
                  <c:pt idx="0">
                    <c:v>2018</c:v>
                  </c:pt>
                  <c:pt idx="4">
                    <c:v>2019</c:v>
                  </c:pt>
                  <c:pt idx="8">
                    <c:v>2020</c:v>
                  </c:pt>
                  <c:pt idx="12">
                    <c:v>2021</c:v>
                  </c:pt>
                  <c:pt idx="16">
                    <c:v>2022</c:v>
                  </c:pt>
                  <c:pt idx="20">
                    <c:v>2023</c:v>
                  </c:pt>
                  <c:pt idx="24">
                    <c:v>2024</c:v>
                  </c:pt>
                  <c:pt idx="28">
                    <c:v>2025</c:v>
                  </c:pt>
                  <c:pt idx="32">
                    <c:v>2026</c:v>
                  </c:pt>
                </c:lvl>
              </c:multiLvlStrCache>
            </c:multiLvlStrRef>
          </c:cat>
          <c:val>
            <c:numRef>
              <c:extLst>
                <c:ext xmlns:c15="http://schemas.microsoft.com/office/drawing/2012/chart" uri="{02D57815-91ED-43cb-92C2-25804820EDAC}">
                  <c15:fullRef>
                    <c15:sqref>'2.6'!$E$12:$E$64</c15:sqref>
                  </c15:fullRef>
                </c:ext>
              </c:extLst>
              <c:f>'2.6'!$E$32:$E$64</c:f>
              <c:numCache>
                <c:formatCode>#,##0.00</c:formatCode>
                <c:ptCount val="33"/>
                <c:pt idx="0">
                  <c:v>1538.02</c:v>
                </c:pt>
                <c:pt idx="1">
                  <c:v>1548.01</c:v>
                </c:pt>
                <c:pt idx="2">
                  <c:v>1550.67</c:v>
                </c:pt>
                <c:pt idx="3">
                  <c:v>1538.59</c:v>
                </c:pt>
                <c:pt idx="4">
                  <c:v>1533.84</c:v>
                </c:pt>
                <c:pt idx="5">
                  <c:v>1530.16</c:v>
                </c:pt>
                <c:pt idx="6">
                  <c:v>1529.11</c:v>
                </c:pt>
                <c:pt idx="7">
                  <c:v>1521.9</c:v>
                </c:pt>
                <c:pt idx="8">
                  <c:v>1530.0597971599998</c:v>
                </c:pt>
                <c:pt idx="9">
                  <c:v>1538.3779999999999</c:v>
                </c:pt>
                <c:pt idx="10">
                  <c:v>1544.356</c:v>
                </c:pt>
                <c:pt idx="11">
                  <c:v>1558.155</c:v>
                </c:pt>
                <c:pt idx="12">
                  <c:v>1579.9739999999999</c:v>
                </c:pt>
                <c:pt idx="13">
                  <c:v>1616.00930997</c:v>
                </c:pt>
                <c:pt idx="14">
                  <c:v>1606.1055326799999</c:v>
                </c:pt>
                <c:pt idx="15">
                  <c:v>1570.75052164</c:v>
                </c:pt>
                <c:pt idx="16">
                  <c:v>1562.98934399</c:v>
                </c:pt>
                <c:pt idx="17">
                  <c:v>1571.39030411</c:v>
                </c:pt>
                <c:pt idx="18">
                  <c:v>1583.349677819999</c:v>
                </c:pt>
                <c:pt idx="19">
                  <c:v>1596.4275158600001</c:v>
                </c:pt>
                <c:pt idx="20">
                  <c:v>1608.40594609001</c:v>
                </c:pt>
                <c:pt idx="21">
                  <c:v>1645.32327764001</c:v>
                </c:pt>
                <c:pt idx="22">
                  <c:v>1676.4104339999999</c:v>
                </c:pt>
                <c:pt idx="23">
                  <c:v>1702.30732289002</c:v>
                </c:pt>
                <c:pt idx="24">
                  <c:v>1718.7236720300057</c:v>
                </c:pt>
                <c:pt idx="25">
                  <c:v>1770.32408779002</c:v>
                </c:pt>
                <c:pt idx="26">
                  <c:v>1796.0486124200099</c:v>
                </c:pt>
                <c:pt idx="27">
                  <c:v>1818.1947495100201</c:v>
                </c:pt>
                <c:pt idx="28">
                  <c:v>1847.1033268700201</c:v>
                </c:pt>
                <c:pt idx="29">
                  <c:v>1892.8307237400199</c:v>
                </c:pt>
                <c:pt idx="30">
                  <c:v>1919.1870410700301</c:v>
                </c:pt>
                <c:pt idx="31">
                  <c:v>1939.63025055002</c:v>
                </c:pt>
                <c:pt idx="32">
                  <c:v>1933.2871528412898</c:v>
                </c:pt>
              </c:numCache>
            </c:numRef>
          </c:val>
          <c:extLst>
            <c:ext xmlns:c15="http://schemas.microsoft.com/office/drawing/2012/chart" uri="{02D57815-91ED-43cb-92C2-25804820EDAC}">
              <c15:categoryFilterExceptions>
                <c15:categoryFilterException>
                  <c15:sqref>'2.6'!$E$16</c15:sqref>
                  <c15:dLbl>
                    <c:idx val="-1"/>
                    <c:delete val="1"/>
                    <c:extLst>
                      <c:ext uri="{CE6537A1-D6FC-4f65-9D91-7224C49458BB}"/>
                      <c:ext xmlns:c16="http://schemas.microsoft.com/office/drawing/2014/chart" uri="{C3380CC4-5D6E-409C-BE32-E72D297353CC}">
                        <c16:uniqueId val="{00000020-35DF-470B-90D7-80892330F4F1}"/>
                      </c:ext>
                    </c:extLst>
                  </c15:dLbl>
                </c15:categoryFilterException>
                <c15:categoryFilterException>
                  <c15:sqref>'2.6'!$E$17</c15:sqref>
                  <c15:dLbl>
                    <c:idx val="-1"/>
                    <c:delete val="1"/>
                    <c:extLst>
                      <c:ext uri="{CE6537A1-D6FC-4f65-9D91-7224C49458BB}"/>
                      <c:ext xmlns:c16="http://schemas.microsoft.com/office/drawing/2014/chart" uri="{C3380CC4-5D6E-409C-BE32-E72D297353CC}">
                        <c16:uniqueId val="{00000021-35DF-470B-90D7-80892330F4F1}"/>
                      </c:ext>
                    </c:extLst>
                  </c15:dLbl>
                </c15:categoryFilterException>
                <c15:categoryFilterException>
                  <c15:sqref>'2.6'!$E$18</c15:sqref>
                  <c15:dLbl>
                    <c:idx val="-1"/>
                    <c:delete val="1"/>
                    <c:extLst>
                      <c:ext uri="{CE6537A1-D6FC-4f65-9D91-7224C49458BB}"/>
                      <c:ext xmlns:c16="http://schemas.microsoft.com/office/drawing/2014/chart" uri="{C3380CC4-5D6E-409C-BE32-E72D297353CC}">
                        <c16:uniqueId val="{00000022-35DF-470B-90D7-80892330F4F1}"/>
                      </c:ext>
                    </c:extLst>
                  </c15:dLbl>
                </c15:categoryFilterException>
                <c15:categoryFilterException>
                  <c15:sqref>'2.6'!$E$19</c15:sqref>
                  <c15:dLbl>
                    <c:idx val="-1"/>
                    <c:delete val="1"/>
                    <c:extLst>
                      <c:ext uri="{CE6537A1-D6FC-4f65-9D91-7224C49458BB}"/>
                      <c:ext xmlns:c16="http://schemas.microsoft.com/office/drawing/2014/chart" uri="{C3380CC4-5D6E-409C-BE32-E72D297353CC}">
                        <c16:uniqueId val="{00000023-35DF-470B-90D7-80892330F4F1}"/>
                      </c:ext>
                    </c:extLst>
                  </c15:dLbl>
                </c15:categoryFilterException>
                <c15:categoryFilterException>
                  <c15:sqref>'2.6'!$E$20</c15:sqref>
                  <c15:dLbl>
                    <c:idx val="-1"/>
                    <c:delete val="1"/>
                    <c:extLst>
                      <c:ext uri="{CE6537A1-D6FC-4f65-9D91-7224C49458BB}"/>
                      <c:ext xmlns:c16="http://schemas.microsoft.com/office/drawing/2014/chart" uri="{C3380CC4-5D6E-409C-BE32-E72D297353CC}">
                        <c16:uniqueId val="{00000024-35DF-470B-90D7-80892330F4F1}"/>
                      </c:ext>
                    </c:extLst>
                  </c15:dLbl>
                </c15:categoryFilterException>
                <c15:categoryFilterException>
                  <c15:sqref>'2.6'!$E$21</c15:sqref>
                  <c15:dLbl>
                    <c:idx val="-1"/>
                    <c:delete val="1"/>
                    <c:extLst>
                      <c:ext uri="{CE6537A1-D6FC-4f65-9D91-7224C49458BB}"/>
                      <c:ext xmlns:c16="http://schemas.microsoft.com/office/drawing/2014/chart" uri="{C3380CC4-5D6E-409C-BE32-E72D297353CC}">
                        <c16:uniqueId val="{00000025-35DF-470B-90D7-80892330F4F1}"/>
                      </c:ext>
                    </c:extLst>
                  </c15:dLbl>
                </c15:categoryFilterException>
                <c15:categoryFilterException>
                  <c15:sqref>'2.6'!$E$22</c15:sqref>
                  <c15:dLbl>
                    <c:idx val="-1"/>
                    <c:delete val="1"/>
                    <c:extLst>
                      <c:ext uri="{CE6537A1-D6FC-4f65-9D91-7224C49458BB}"/>
                      <c:ext xmlns:c16="http://schemas.microsoft.com/office/drawing/2014/chart" uri="{C3380CC4-5D6E-409C-BE32-E72D297353CC}">
                        <c16:uniqueId val="{00000026-35DF-470B-90D7-80892330F4F1}"/>
                      </c:ext>
                    </c:extLst>
                  </c15:dLbl>
                </c15:categoryFilterException>
                <c15:categoryFilterException>
                  <c15:sqref>'2.6'!$E$23</c15:sqref>
                  <c15:dLbl>
                    <c:idx val="-1"/>
                    <c:delete val="1"/>
                    <c:extLst>
                      <c:ext uri="{CE6537A1-D6FC-4f65-9D91-7224C49458BB}"/>
                      <c:ext xmlns:c16="http://schemas.microsoft.com/office/drawing/2014/chart" uri="{C3380CC4-5D6E-409C-BE32-E72D297353CC}">
                        <c16:uniqueId val="{00000027-35DF-470B-90D7-80892330F4F1}"/>
                      </c:ext>
                    </c:extLst>
                  </c15:dLbl>
                </c15:categoryFilterException>
                <c15:categoryFilterException>
                  <c15:sqref>'2.6'!$E$24</c15:sqref>
                  <c15:dLbl>
                    <c:idx val="-1"/>
                    <c:delete val="1"/>
                    <c:extLst>
                      <c:ext uri="{CE6537A1-D6FC-4f65-9D91-7224C49458BB}"/>
                      <c:ext xmlns:c16="http://schemas.microsoft.com/office/drawing/2014/chart" uri="{C3380CC4-5D6E-409C-BE32-E72D297353CC}">
                        <c16:uniqueId val="{00000028-35DF-470B-90D7-80892330F4F1}"/>
                      </c:ext>
                    </c:extLst>
                  </c15:dLbl>
                </c15:categoryFilterException>
                <c15:categoryFilterException>
                  <c15:sqref>'2.6'!$E$25</c15:sqref>
                  <c15:dLbl>
                    <c:idx val="-1"/>
                    <c:delete val="1"/>
                    <c:extLst>
                      <c:ext uri="{CE6537A1-D6FC-4f65-9D91-7224C49458BB}"/>
                      <c:ext xmlns:c16="http://schemas.microsoft.com/office/drawing/2014/chart" uri="{C3380CC4-5D6E-409C-BE32-E72D297353CC}">
                        <c16:uniqueId val="{00000029-35DF-470B-90D7-80892330F4F1}"/>
                      </c:ext>
                    </c:extLst>
                  </c15:dLbl>
                </c15:categoryFilterException>
                <c15:categoryFilterException>
                  <c15:sqref>'2.6'!$E$26</c15:sqref>
                  <c15:dLbl>
                    <c:idx val="-1"/>
                    <c:delete val="1"/>
                    <c:extLst>
                      <c:ext uri="{CE6537A1-D6FC-4f65-9D91-7224C49458BB}"/>
                      <c:ext xmlns:c16="http://schemas.microsoft.com/office/drawing/2014/chart" uri="{C3380CC4-5D6E-409C-BE32-E72D297353CC}">
                        <c16:uniqueId val="{0000002A-35DF-470B-90D7-80892330F4F1}"/>
                      </c:ext>
                    </c:extLst>
                  </c15:dLbl>
                </c15:categoryFilterException>
                <c15:categoryFilterException>
                  <c15:sqref>'2.6'!$E$27</c15:sqref>
                  <c15:dLbl>
                    <c:idx val="-1"/>
                    <c:delete val="1"/>
                    <c:extLst>
                      <c:ext uri="{CE6537A1-D6FC-4f65-9D91-7224C49458BB}"/>
                      <c:ext xmlns:c16="http://schemas.microsoft.com/office/drawing/2014/chart" uri="{C3380CC4-5D6E-409C-BE32-E72D297353CC}">
                        <c16:uniqueId val="{0000002B-35DF-470B-90D7-80892330F4F1}"/>
                      </c:ext>
                    </c:extLst>
                  </c15:dLbl>
                </c15:categoryFilterException>
                <c15:categoryFilterException>
                  <c15:sqref>'2.6'!$E$28</c15:sqref>
                  <c15:dLbl>
                    <c:idx val="-1"/>
                    <c:delete val="1"/>
                    <c:extLst>
                      <c:ext uri="{CE6537A1-D6FC-4f65-9D91-7224C49458BB}"/>
                      <c:ext xmlns:c16="http://schemas.microsoft.com/office/drawing/2014/chart" uri="{C3380CC4-5D6E-409C-BE32-E72D297353CC}">
                        <c16:uniqueId val="{0000002C-35DF-470B-90D7-80892330F4F1}"/>
                      </c:ext>
                    </c:extLst>
                  </c15:dLbl>
                </c15:categoryFilterException>
                <c15:categoryFilterException>
                  <c15:sqref>'2.6'!$E$29</c15:sqref>
                  <c15:dLbl>
                    <c:idx val="-1"/>
                    <c:delete val="1"/>
                    <c:extLst>
                      <c:ext uri="{CE6537A1-D6FC-4f65-9D91-7224C49458BB}"/>
                      <c:ext xmlns:c16="http://schemas.microsoft.com/office/drawing/2014/chart" uri="{C3380CC4-5D6E-409C-BE32-E72D297353CC}">
                        <c16:uniqueId val="{0000002D-35DF-470B-90D7-80892330F4F1}"/>
                      </c:ext>
                    </c:extLst>
                  </c15:dLbl>
                </c15:categoryFilterException>
                <c15:categoryFilterException>
                  <c15:sqref>'2.6'!$E$30</c15:sqref>
                  <c15:dLbl>
                    <c:idx val="-1"/>
                    <c:delete val="1"/>
                    <c:extLst>
                      <c:ext uri="{CE6537A1-D6FC-4f65-9D91-7224C49458BB}"/>
                      <c:ext xmlns:c16="http://schemas.microsoft.com/office/drawing/2014/chart" uri="{C3380CC4-5D6E-409C-BE32-E72D297353CC}">
                        <c16:uniqueId val="{0000002E-35DF-470B-90D7-80892330F4F1}"/>
                      </c:ext>
                    </c:extLst>
                  </c15:dLbl>
                </c15:categoryFilterException>
                <c15:categoryFilterException>
                  <c15:sqref>'2.6'!$E$31</c15:sqref>
                  <c15:dLbl>
                    <c:idx val="-1"/>
                    <c:delete val="1"/>
                    <c:extLst>
                      <c:ext uri="{CE6537A1-D6FC-4f65-9D91-7224C49458BB}"/>
                      <c:ext xmlns:c16="http://schemas.microsoft.com/office/drawing/2014/chart" uri="{C3380CC4-5D6E-409C-BE32-E72D297353CC}">
                        <c16:uniqueId val="{0000002F-35DF-470B-90D7-80892330F4F1}"/>
                      </c:ext>
                    </c:extLst>
                  </c15:dLbl>
                </c15:categoryFilterException>
              </c15:categoryFilterExceptions>
            </c:ext>
            <c:ext xmlns:c16="http://schemas.microsoft.com/office/drawing/2014/chart" uri="{C3380CC4-5D6E-409C-BE32-E72D297353CC}">
              <c16:uniqueId val="{00000035-A970-4050-9935-02DCB2176CEC}"/>
            </c:ext>
          </c:extLst>
        </c:ser>
        <c:dLbls>
          <c:dLblPos val="outEnd"/>
          <c:showLegendKey val="0"/>
          <c:showVal val="1"/>
          <c:showCatName val="0"/>
          <c:showSerName val="0"/>
          <c:showPercent val="0"/>
          <c:showBubbleSize val="0"/>
        </c:dLbls>
        <c:gapWidth val="100"/>
        <c:axId val="486513208"/>
        <c:axId val="486513600"/>
      </c:barChart>
      <c:catAx>
        <c:axId val="486513208"/>
        <c:scaling>
          <c:orientation val="minMax"/>
        </c:scaling>
        <c:delete val="0"/>
        <c:axPos val="b"/>
        <c:numFmt formatCode="General" sourceLinked="0"/>
        <c:majorTickMark val="none"/>
        <c:minorTickMark val="none"/>
        <c:tickLblPos val="nextTo"/>
        <c:txPr>
          <a:bodyPr rot="-5400000" vert="horz"/>
          <a:lstStyle/>
          <a:p>
            <a:pPr>
              <a:defRPr sz="1050" b="0">
                <a:latin typeface="Geomanist" panose="02000503000000020004" pitchFamily="50" charset="0"/>
              </a:defRPr>
            </a:pPr>
            <a:endParaRPr lang="en-US"/>
          </a:p>
        </c:txPr>
        <c:crossAx val="486513600"/>
        <c:crosses val="autoZero"/>
        <c:auto val="1"/>
        <c:lblAlgn val="ctr"/>
        <c:lblOffset val="100"/>
        <c:noMultiLvlLbl val="0"/>
      </c:catAx>
      <c:valAx>
        <c:axId val="486513600"/>
        <c:scaling>
          <c:orientation val="minMax"/>
        </c:scaling>
        <c:delete val="0"/>
        <c:axPos val="l"/>
        <c:majorGridlines>
          <c:spPr>
            <a:ln>
              <a:solidFill>
                <a:schemeClr val="bg1">
                  <a:lumMod val="75000"/>
                </a:schemeClr>
              </a:solidFill>
            </a:ln>
          </c:spPr>
        </c:majorGridlines>
        <c:title>
          <c:tx>
            <c:rich>
              <a:bodyPr rot="-5400000" vert="horz"/>
              <a:lstStyle/>
              <a:p>
                <a:pPr>
                  <a:defRPr sz="1100">
                    <a:latin typeface="Heuristica" panose="02020603050705020204" pitchFamily="18" charset="0"/>
                  </a:defRPr>
                </a:pPr>
                <a:r>
                  <a:rPr lang="en-US" sz="1100">
                    <a:latin typeface="Heuristica" panose="02020603050705020204" pitchFamily="18" charset="0"/>
                  </a:rPr>
                  <a:t>BND Million</a:t>
                </a:r>
              </a:p>
            </c:rich>
          </c:tx>
          <c:layout>
            <c:manualLayout>
              <c:xMode val="edge"/>
              <c:yMode val="edge"/>
              <c:x val="8.3416075923060939E-3"/>
              <c:y val="0.41322818738566769"/>
            </c:manualLayout>
          </c:layout>
          <c:overlay val="0"/>
        </c:title>
        <c:numFmt formatCode="#,##0.00" sourceLinked="1"/>
        <c:majorTickMark val="none"/>
        <c:minorTickMark val="none"/>
        <c:tickLblPos val="nextTo"/>
        <c:spPr>
          <a:ln w="9525">
            <a:solidFill>
              <a:schemeClr val="bg1">
                <a:lumMod val="50000"/>
              </a:schemeClr>
            </a:solidFill>
          </a:ln>
        </c:spPr>
        <c:txPr>
          <a:bodyPr/>
          <a:lstStyle/>
          <a:p>
            <a:pPr>
              <a:defRPr sz="1100" b="0">
                <a:latin typeface="Geomanist" panose="02000503000000020004" pitchFamily="50" charset="0"/>
              </a:defRPr>
            </a:pPr>
            <a:endParaRPr lang="en-US"/>
          </a:p>
        </c:txPr>
        <c:crossAx val="486513208"/>
        <c:crosses val="autoZero"/>
        <c:crossBetween val="between"/>
      </c:valAx>
      <c:spPr>
        <a:ln w="6350">
          <a:solidFill>
            <a:schemeClr val="bg1">
              <a:lumMod val="85000"/>
            </a:schemeClr>
          </a:solidFill>
        </a:ln>
      </c:spPr>
    </c:plotArea>
    <c:legend>
      <c:legendPos val="b"/>
      <c:layout>
        <c:manualLayout>
          <c:xMode val="edge"/>
          <c:yMode val="edge"/>
          <c:x val="0.31969327744144127"/>
          <c:y val="0.94668643017292275"/>
          <c:w val="0.41911438858337818"/>
          <c:h val="4.5015443222883658E-2"/>
        </c:manualLayout>
      </c:layout>
      <c:overlay val="0"/>
      <c:txPr>
        <a:bodyPr/>
        <a:lstStyle/>
        <a:p>
          <a:pPr>
            <a:defRPr sz="1200" b="0">
              <a:latin typeface="Heuristica" panose="02020603050705020204" pitchFamily="18" charset="0"/>
            </a:defRPr>
          </a:pPr>
          <a:endParaRPr lang="en-US"/>
        </a:p>
      </c:txPr>
    </c:legend>
    <c:plotVisOnly val="1"/>
    <c:dispBlanksAs val="gap"/>
    <c:showDLblsOverMax val="0"/>
  </c:chart>
  <c:txPr>
    <a:bodyPr/>
    <a:lstStyle/>
    <a:p>
      <a:pPr>
        <a:defRPr sz="1100" b="1">
          <a:latin typeface="Heuristica" panose="02020603050705020204" pitchFamily="18" charset="0"/>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3.1: </a:t>
            </a:r>
            <a:r>
              <a:rPr lang="en-US" sz="2000">
                <a:solidFill>
                  <a:srgbClr val="D4C029"/>
                </a:solidFill>
                <a:latin typeface="Heuristica" panose="02020603050705020204" pitchFamily="18" charset="0"/>
              </a:rPr>
              <a:t>Insurance / Takaful: Assets</a:t>
            </a:r>
          </a:p>
        </c:rich>
      </c:tx>
      <c:layout>
        <c:manualLayout>
          <c:xMode val="edge"/>
          <c:yMode val="edge"/>
          <c:x val="0.29424885122497518"/>
          <c:y val="6.0606060606060606E-3"/>
        </c:manualLayout>
      </c:layout>
      <c:overlay val="0"/>
    </c:title>
    <c:autoTitleDeleted val="0"/>
    <c:plotArea>
      <c:layout>
        <c:manualLayout>
          <c:layoutTarget val="inner"/>
          <c:xMode val="edge"/>
          <c:yMode val="edge"/>
          <c:x val="0.10169683884822317"/>
          <c:y val="4.9660277313820618E-2"/>
          <c:w val="0.8900431800863603"/>
          <c:h val="0.79291084069036821"/>
        </c:manualLayout>
      </c:layout>
      <c:barChart>
        <c:barDir val="col"/>
        <c:grouping val="stacked"/>
        <c:varyColors val="0"/>
        <c:ser>
          <c:idx val="0"/>
          <c:order val="0"/>
          <c:tx>
            <c:strRef>
              <c:f>'3.1'!$D$4:$F$4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D-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2C-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2B-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2A-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1-C0DD-45C9-9025-15FD89BB377F}"/>
                </c:ext>
              </c:extLst>
            </c:dLbl>
            <c:dLbl>
              <c:idx val="5"/>
              <c:delete val="1"/>
              <c:extLst>
                <c:ext xmlns:c15="http://schemas.microsoft.com/office/drawing/2012/chart" uri="{CE6537A1-D6FC-4f65-9D91-7224C49458BB}"/>
                <c:ext xmlns:c16="http://schemas.microsoft.com/office/drawing/2014/chart" uri="{C3380CC4-5D6E-409C-BE32-E72D297353CC}">
                  <c16:uniqueId val="{00000003-990F-4225-B225-B63A5793E834}"/>
                </c:ext>
              </c:extLst>
            </c:dLbl>
            <c:dLbl>
              <c:idx val="6"/>
              <c:delete val="1"/>
              <c:extLst>
                <c:ext xmlns:c15="http://schemas.microsoft.com/office/drawing/2012/chart" uri="{CE6537A1-D6FC-4f65-9D91-7224C49458BB}"/>
                <c:ext xmlns:c16="http://schemas.microsoft.com/office/drawing/2014/chart" uri="{C3380CC4-5D6E-409C-BE32-E72D297353CC}">
                  <c16:uniqueId val="{00000004-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3-0373-4F20-86DE-1BFD23D38A92}"/>
                </c:ext>
              </c:extLst>
            </c:dLbl>
            <c:dLbl>
              <c:idx val="8"/>
              <c:delete val="1"/>
              <c:extLst>
                <c:ext xmlns:c15="http://schemas.microsoft.com/office/drawing/2012/chart" uri="{CE6537A1-D6FC-4f65-9D91-7224C49458BB}"/>
                <c:ext xmlns:c16="http://schemas.microsoft.com/office/drawing/2014/chart" uri="{C3380CC4-5D6E-409C-BE32-E72D297353CC}">
                  <c16:uniqueId val="{00000002-D084-4FA4-B3B2-727709EC1758}"/>
                </c:ext>
              </c:extLst>
            </c:dLbl>
            <c:dLbl>
              <c:idx val="9"/>
              <c:delete val="1"/>
              <c:extLst>
                <c:ext xmlns:c15="http://schemas.microsoft.com/office/drawing/2012/chart" uri="{CE6537A1-D6FC-4f65-9D91-7224C49458BB}"/>
                <c:ext xmlns:c16="http://schemas.microsoft.com/office/drawing/2014/chart" uri="{C3380CC4-5D6E-409C-BE32-E72D297353CC}">
                  <c16:uniqueId val="{00000001-D084-4FA4-B3B2-727709EC1758}"/>
                </c:ext>
              </c:extLst>
            </c:dLbl>
            <c:dLbl>
              <c:idx val="10"/>
              <c:delete val="1"/>
              <c:extLst>
                <c:ext xmlns:c15="http://schemas.microsoft.com/office/drawing/2012/chart" uri="{CE6537A1-D6FC-4f65-9D91-7224C49458BB}"/>
                <c:ext xmlns:c16="http://schemas.microsoft.com/office/drawing/2014/chart" uri="{C3380CC4-5D6E-409C-BE32-E72D297353CC}">
                  <c16:uniqueId val="{00000003-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E-622E-4DF6-B44C-5CFF7594A19A}"/>
                </c:ext>
              </c:extLst>
            </c:dLbl>
            <c:dLbl>
              <c:idx val="12"/>
              <c:delete val="1"/>
              <c:extLst>
                <c:ext xmlns:c15="http://schemas.microsoft.com/office/drawing/2012/chart" uri="{CE6537A1-D6FC-4f65-9D91-7224C49458BB}"/>
                <c:ext xmlns:c16="http://schemas.microsoft.com/office/drawing/2014/chart" uri="{C3380CC4-5D6E-409C-BE32-E72D297353CC}">
                  <c16:uniqueId val="{0000000E-7AF4-4277-8452-0526E9E900FF}"/>
                </c:ext>
              </c:extLst>
            </c:dLbl>
            <c:dLbl>
              <c:idx val="13"/>
              <c:delete val="1"/>
              <c:extLst>
                <c:ext xmlns:c15="http://schemas.microsoft.com/office/drawing/2012/chart" uri="{CE6537A1-D6FC-4f65-9D91-7224C49458BB}"/>
                <c:ext xmlns:c16="http://schemas.microsoft.com/office/drawing/2014/chart" uri="{C3380CC4-5D6E-409C-BE32-E72D297353CC}">
                  <c16:uniqueId val="{0000000E-D218-46AC-B509-011BA0EF196C}"/>
                </c:ext>
              </c:extLst>
            </c:dLbl>
            <c:dLbl>
              <c:idx val="14"/>
              <c:delete val="1"/>
              <c:extLst>
                <c:ext xmlns:c15="http://schemas.microsoft.com/office/drawing/2012/chart" uri="{CE6537A1-D6FC-4f65-9D91-7224C49458BB}"/>
                <c:ext xmlns:c16="http://schemas.microsoft.com/office/drawing/2014/chart" uri="{C3380CC4-5D6E-409C-BE32-E72D297353CC}">
                  <c16:uniqueId val="{0000000C-3976-4B13-AEAC-A861D41FD573}"/>
                </c:ext>
              </c:extLst>
            </c:dLbl>
            <c:dLbl>
              <c:idx val="15"/>
              <c:delete val="1"/>
              <c:extLst>
                <c:ext xmlns:c15="http://schemas.microsoft.com/office/drawing/2012/chart" uri="{CE6537A1-D6FC-4f65-9D91-7224C49458BB}"/>
                <c:ext xmlns:c16="http://schemas.microsoft.com/office/drawing/2014/chart" uri="{C3380CC4-5D6E-409C-BE32-E72D297353CC}">
                  <c16:uniqueId val="{00000018-3B88-478F-AF2A-332C7AAD1503}"/>
                </c:ext>
              </c:extLst>
            </c:dLbl>
            <c:dLbl>
              <c:idx val="16"/>
              <c:delete val="1"/>
              <c:extLst>
                <c:ext xmlns:c15="http://schemas.microsoft.com/office/drawing/2012/chart" uri="{CE6537A1-D6FC-4f65-9D91-7224C49458BB}"/>
                <c:ext xmlns:c16="http://schemas.microsoft.com/office/drawing/2014/chart" uri="{C3380CC4-5D6E-409C-BE32-E72D297353CC}">
                  <c16:uniqueId val="{00000019-6833-4B4C-98D8-AD6AE1F15ACC}"/>
                </c:ext>
              </c:extLst>
            </c:dLbl>
            <c:dLbl>
              <c:idx val="17"/>
              <c:delete val="1"/>
              <c:extLst>
                <c:ext xmlns:c15="http://schemas.microsoft.com/office/drawing/2012/chart" uri="{CE6537A1-D6FC-4f65-9D91-7224C49458BB}"/>
                <c:ext xmlns:c16="http://schemas.microsoft.com/office/drawing/2014/chart" uri="{C3380CC4-5D6E-409C-BE32-E72D297353CC}">
                  <c16:uniqueId val="{00000018-6449-4683-9BB5-8291E2A5C020}"/>
                </c:ext>
              </c:extLst>
            </c:dLbl>
            <c:dLbl>
              <c:idx val="18"/>
              <c:delete val="1"/>
              <c:extLst>
                <c:ext xmlns:c15="http://schemas.microsoft.com/office/drawing/2012/chart" uri="{CE6537A1-D6FC-4f65-9D91-7224C49458BB}"/>
                <c:ext xmlns:c16="http://schemas.microsoft.com/office/drawing/2014/chart" uri="{C3380CC4-5D6E-409C-BE32-E72D297353CC}">
                  <c16:uniqueId val="{00000019-0249-4373-B340-FF12BD235875}"/>
                </c:ext>
              </c:extLst>
            </c:dLbl>
            <c:dLbl>
              <c:idx val="19"/>
              <c:delete val="1"/>
              <c:extLst>
                <c:ext xmlns:c15="http://schemas.microsoft.com/office/drawing/2012/chart" uri="{CE6537A1-D6FC-4f65-9D91-7224C49458BB}"/>
                <c:ext xmlns:c16="http://schemas.microsoft.com/office/drawing/2014/chart" uri="{C3380CC4-5D6E-409C-BE32-E72D297353CC}">
                  <c16:uniqueId val="{00000018-DF43-4CEE-A2BA-A78455FFC6B8}"/>
                </c:ext>
              </c:extLst>
            </c:dLbl>
            <c:dLbl>
              <c:idx val="20"/>
              <c:delete val="1"/>
              <c:extLst>
                <c:ext xmlns:c15="http://schemas.microsoft.com/office/drawing/2012/chart" uri="{CE6537A1-D6FC-4f65-9D91-7224C49458BB}"/>
                <c:ext xmlns:c16="http://schemas.microsoft.com/office/drawing/2014/chart" uri="{C3380CC4-5D6E-409C-BE32-E72D297353CC}">
                  <c16:uniqueId val="{00000018-F4CC-46F9-AEBF-72AA228C718A}"/>
                </c:ext>
              </c:extLst>
            </c:dLbl>
            <c:dLbl>
              <c:idx val="21"/>
              <c:delete val="1"/>
              <c:extLst>
                <c:ext xmlns:c15="http://schemas.microsoft.com/office/drawing/2012/chart" uri="{CE6537A1-D6FC-4f65-9D91-7224C49458BB}"/>
                <c:ext xmlns:c16="http://schemas.microsoft.com/office/drawing/2014/chart" uri="{C3380CC4-5D6E-409C-BE32-E72D297353CC}">
                  <c16:uniqueId val="{0000001A-DB61-4541-A14E-0639E4FB97BF}"/>
                </c:ext>
              </c:extLst>
            </c:dLbl>
            <c:dLbl>
              <c:idx val="22"/>
              <c:delete val="1"/>
              <c:extLst>
                <c:ext xmlns:c15="http://schemas.microsoft.com/office/drawing/2012/chart" uri="{CE6537A1-D6FC-4f65-9D91-7224C49458BB}"/>
                <c:ext xmlns:c16="http://schemas.microsoft.com/office/drawing/2014/chart" uri="{C3380CC4-5D6E-409C-BE32-E72D297353CC}">
                  <c16:uniqueId val="{0000001C-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B-0075-4D1C-BF94-B3B5FA2B59EF}"/>
                </c:ext>
              </c:extLst>
            </c:dLbl>
            <c:dLbl>
              <c:idx val="24"/>
              <c:delete val="1"/>
              <c:extLst>
                <c:ext xmlns:c15="http://schemas.microsoft.com/office/drawing/2012/chart" uri="{CE6537A1-D6FC-4f65-9D91-7224C49458BB}"/>
                <c:ext xmlns:c16="http://schemas.microsoft.com/office/drawing/2014/chart" uri="{C3380CC4-5D6E-409C-BE32-E72D297353CC}">
                  <c16:uniqueId val="{00000018-588A-45E1-BAEA-4460B2A815FB}"/>
                </c:ext>
              </c:extLst>
            </c:dLbl>
            <c:dLbl>
              <c:idx val="25"/>
              <c:delete val="1"/>
              <c:extLst>
                <c:ext xmlns:c15="http://schemas.microsoft.com/office/drawing/2012/chart" uri="{CE6537A1-D6FC-4f65-9D91-7224C49458BB}"/>
                <c:ext xmlns:c16="http://schemas.microsoft.com/office/drawing/2014/chart" uri="{C3380CC4-5D6E-409C-BE32-E72D297353CC}">
                  <c16:uniqueId val="{0000001C-9EE0-4BD6-B6BF-801140200E60}"/>
                </c:ext>
              </c:extLst>
            </c:dLbl>
            <c:dLbl>
              <c:idx val="26"/>
              <c:delete val="1"/>
              <c:extLst>
                <c:ext xmlns:c15="http://schemas.microsoft.com/office/drawing/2012/chart" uri="{CE6537A1-D6FC-4f65-9D91-7224C49458BB}"/>
                <c:ext xmlns:c16="http://schemas.microsoft.com/office/drawing/2014/chart" uri="{C3380CC4-5D6E-409C-BE32-E72D297353CC}">
                  <c16:uniqueId val="{0000001B-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A-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9-DEFA-4A6E-9D34-E3E48F20A5BF}"/>
                </c:ext>
              </c:extLst>
            </c:dLbl>
            <c:dLbl>
              <c:idx val="29"/>
              <c:delete val="1"/>
              <c:extLst>
                <c:ext xmlns:c15="http://schemas.microsoft.com/office/drawing/2012/chart" uri="{CE6537A1-D6FC-4f65-9D91-7224C49458BB}"/>
                <c:ext xmlns:c16="http://schemas.microsoft.com/office/drawing/2014/chart" uri="{C3380CC4-5D6E-409C-BE32-E72D297353CC}">
                  <c16:uniqueId val="{00000026-0A12-4AC4-A8CB-8BA5435613AE}"/>
                </c:ext>
              </c:extLst>
            </c:dLbl>
            <c:dLbl>
              <c:idx val="30"/>
              <c:delete val="1"/>
              <c:extLst>
                <c:ext xmlns:c15="http://schemas.microsoft.com/office/drawing/2012/chart" uri="{CE6537A1-D6FC-4f65-9D91-7224C49458BB}"/>
                <c:ext xmlns:c16="http://schemas.microsoft.com/office/drawing/2014/chart" uri="{C3380CC4-5D6E-409C-BE32-E72D297353CC}">
                  <c16:uniqueId val="{00000024-5906-4915-BB3A-FB757AEA3E4E}"/>
                </c:ext>
              </c:extLst>
            </c:dLbl>
            <c:dLbl>
              <c:idx val="31"/>
              <c:delete val="1"/>
              <c:extLst>
                <c:ext xmlns:c15="http://schemas.microsoft.com/office/drawing/2012/chart" uri="{CE6537A1-D6FC-4f65-9D91-7224C49458BB}"/>
                <c:ext xmlns:c16="http://schemas.microsoft.com/office/drawing/2014/chart" uri="{C3380CC4-5D6E-409C-BE32-E72D297353CC}">
                  <c16:uniqueId val="{00000028-5906-4915-BB3A-FB757AEA3E4E}"/>
                </c:ext>
              </c:extLst>
            </c:dLbl>
            <c:spPr>
              <a:noFill/>
              <a:ln>
                <a:noFill/>
              </a:ln>
              <a:effectLst/>
            </c:spPr>
            <c:txPr>
              <a:bodyPr wrap="square" lIns="38100" tIns="19050" rIns="38100" bIns="19050" anchor="ctr">
                <a:spAutoFit/>
              </a:bodyPr>
              <a:lstStyle/>
              <a:p>
                <a:pPr>
                  <a:defRPr sz="12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'3.1'!$A$14:$B$66</c15:sqref>
                  </c15:fullRef>
                </c:ext>
              </c:extLst>
              <c:f>'3.1'!$A$34:$B$66</c:f>
              <c:multiLvlStrCache>
                <c:ptCount val="3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lvl>
                <c:lvl>
                  <c:pt idx="0">
                    <c:v>2018</c:v>
                  </c:pt>
                  <c:pt idx="4">
                    <c:v>2019</c:v>
                  </c:pt>
                  <c:pt idx="8">
                    <c:v>2020</c:v>
                  </c:pt>
                  <c:pt idx="12">
                    <c:v>2021</c:v>
                  </c:pt>
                  <c:pt idx="16">
                    <c:v>2022</c:v>
                  </c:pt>
                  <c:pt idx="20">
                    <c:v>2023</c:v>
                  </c:pt>
                  <c:pt idx="24">
                    <c:v>2024</c:v>
                  </c:pt>
                  <c:pt idx="28">
                    <c:v>2025</c:v>
                  </c:pt>
                  <c:pt idx="32">
                    <c:v>2026</c:v>
                  </c:pt>
                </c:lvl>
              </c:multiLvlStrCache>
            </c:multiLvlStrRef>
          </c:cat>
          <c:val>
            <c:numRef>
              <c:extLst>
                <c:ext xmlns:c15="http://schemas.microsoft.com/office/drawing/2012/chart" uri="{02D57815-91ED-43cb-92C2-25804820EDAC}">
                  <c15:fullRef>
                    <c15:sqref>'3.1'!$D$14:$D$66</c15:sqref>
                  </c15:fullRef>
                </c:ext>
              </c:extLst>
              <c:f>'3.1'!$D$34:$D$66</c:f>
              <c:numCache>
                <c:formatCode>#,##0.00;[Red]#,##0.00</c:formatCode>
                <c:ptCount val="33"/>
                <c:pt idx="0">
                  <c:v>1083.92</c:v>
                </c:pt>
                <c:pt idx="1">
                  <c:v>1092.92</c:v>
                </c:pt>
                <c:pt idx="2">
                  <c:v>1090.27</c:v>
                </c:pt>
                <c:pt idx="3">
                  <c:v>1081.78</c:v>
                </c:pt>
                <c:pt idx="4">
                  <c:v>1124.05</c:v>
                </c:pt>
                <c:pt idx="5">
                  <c:v>1140.74</c:v>
                </c:pt>
                <c:pt idx="6">
                  <c:v>1171.8800000000001</c:v>
                </c:pt>
                <c:pt idx="7">
                  <c:v>1201.3</c:v>
                </c:pt>
                <c:pt idx="8">
                  <c:v>1170.8</c:v>
                </c:pt>
                <c:pt idx="9">
                  <c:v>1238.5899999999999</c:v>
                </c:pt>
                <c:pt idx="10">
                  <c:v>1281.8500000000001</c:v>
                </c:pt>
                <c:pt idx="11">
                  <c:v>1358.6599999999999</c:v>
                </c:pt>
                <c:pt idx="12">
                  <c:v>1344.15</c:v>
                </c:pt>
                <c:pt idx="13">
                  <c:v>1392.31</c:v>
                </c:pt>
                <c:pt idx="14">
                  <c:v>1370.1789999999999</c:v>
                </c:pt>
                <c:pt idx="15">
                  <c:v>1365.9</c:v>
                </c:pt>
                <c:pt idx="16">
                  <c:v>1296.74</c:v>
                </c:pt>
                <c:pt idx="17">
                  <c:v>1245.52</c:v>
                </c:pt>
                <c:pt idx="18">
                  <c:v>1212.3600000000001</c:v>
                </c:pt>
                <c:pt idx="19">
                  <c:v>1240.05</c:v>
                </c:pt>
                <c:pt idx="20">
                  <c:v>1289.8000000000002</c:v>
                </c:pt>
                <c:pt idx="21">
                  <c:v>1281.5630000000001</c:v>
                </c:pt>
                <c:pt idx="22">
                  <c:v>1284.5</c:v>
                </c:pt>
                <c:pt idx="23">
                  <c:v>1357.67</c:v>
                </c:pt>
                <c:pt idx="24">
                  <c:v>1384.65</c:v>
                </c:pt>
                <c:pt idx="25">
                  <c:v>1409.41</c:v>
                </c:pt>
                <c:pt idx="26">
                  <c:v>1450.96</c:v>
                </c:pt>
                <c:pt idx="27">
                  <c:v>1526.26</c:v>
                </c:pt>
                <c:pt idx="28">
                  <c:v>1389.8020000000001</c:v>
                </c:pt>
                <c:pt idx="29">
                  <c:v>1449.3899999999999</c:v>
                </c:pt>
                <c:pt idx="30">
                  <c:v>1535.048</c:v>
                </c:pt>
                <c:pt idx="31">
                  <c:v>1557.9690000000001</c:v>
                </c:pt>
                <c:pt idx="32">
                  <c:v>1647.5320000000002</c:v>
                </c:pt>
              </c:numCache>
            </c:numRef>
          </c:val>
          <c:extLst>
            <c:ext xmlns:c15="http://schemas.microsoft.com/office/drawing/2012/chart" uri="{02D57815-91ED-43cb-92C2-25804820EDAC}">
              <c15:categoryFilterExceptions>
                <c15:categoryFilterException>
                  <c15:sqref>'3.1'!$D$22</c15:sqref>
                  <c15:dLbl>
                    <c:idx val="-1"/>
                    <c:delete val="1"/>
                    <c:extLst>
                      <c:ext uri="{CE6537A1-D6FC-4f65-9D91-7224C49458BB}"/>
                      <c:ext xmlns:c16="http://schemas.microsoft.com/office/drawing/2014/chart" uri="{C3380CC4-5D6E-409C-BE32-E72D297353CC}">
                        <c16:uniqueId val="{00000000-6B61-4677-AA26-EA7E63307C10}"/>
                      </c:ext>
                    </c:extLst>
                  </c15:dLbl>
                </c15:categoryFilterException>
                <c15:categoryFilterException>
                  <c15:sqref>'3.1'!$D$23</c15:sqref>
                  <c15:dLbl>
                    <c:idx val="-1"/>
                    <c:delete val="1"/>
                    <c:extLst>
                      <c:ext uri="{CE6537A1-D6FC-4f65-9D91-7224C49458BB}"/>
                      <c:ext xmlns:c16="http://schemas.microsoft.com/office/drawing/2014/chart" uri="{C3380CC4-5D6E-409C-BE32-E72D297353CC}">
                        <c16:uniqueId val="{00000001-6B61-4677-AA26-EA7E63307C10}"/>
                      </c:ext>
                    </c:extLst>
                  </c15:dLbl>
                </c15:categoryFilterException>
                <c15:categoryFilterException>
                  <c15:sqref>'3.1'!$D$24</c15:sqref>
                  <c15:dLbl>
                    <c:idx val="-1"/>
                    <c:delete val="1"/>
                    <c:extLst>
                      <c:ext uri="{CE6537A1-D6FC-4f65-9D91-7224C49458BB}"/>
                      <c:ext xmlns:c16="http://schemas.microsoft.com/office/drawing/2014/chart" uri="{C3380CC4-5D6E-409C-BE32-E72D297353CC}">
                        <c16:uniqueId val="{00000002-6B61-4677-AA26-EA7E63307C10}"/>
                      </c:ext>
                    </c:extLst>
                  </c15:dLbl>
                </c15:categoryFilterException>
                <c15:categoryFilterException>
                  <c15:sqref>'3.1'!$D$25</c15:sqref>
                  <c15:dLbl>
                    <c:idx val="-1"/>
                    <c:delete val="1"/>
                    <c:extLst>
                      <c:ext uri="{CE6537A1-D6FC-4f65-9D91-7224C49458BB}"/>
                      <c:ext xmlns:c16="http://schemas.microsoft.com/office/drawing/2014/chart" uri="{C3380CC4-5D6E-409C-BE32-E72D297353CC}">
                        <c16:uniqueId val="{00000003-6B61-4677-AA26-EA7E63307C10}"/>
                      </c:ext>
                    </c:extLst>
                  </c15:dLbl>
                </c15:categoryFilterException>
                <c15:categoryFilterException>
                  <c15:sqref>'3.1'!$D$26</c15:sqref>
                  <c15:dLbl>
                    <c:idx val="-1"/>
                    <c:delete val="1"/>
                    <c:extLst>
                      <c:ext uri="{CE6537A1-D6FC-4f65-9D91-7224C49458BB}"/>
                      <c:ext xmlns:c16="http://schemas.microsoft.com/office/drawing/2014/chart" uri="{C3380CC4-5D6E-409C-BE32-E72D297353CC}">
                        <c16:uniqueId val="{00000004-6B61-4677-AA26-EA7E63307C10}"/>
                      </c:ext>
                    </c:extLst>
                  </c15:dLbl>
                </c15:categoryFilterException>
                <c15:categoryFilterException>
                  <c15:sqref>'3.1'!$D$27</c15:sqref>
                  <c15:dLbl>
                    <c:idx val="-1"/>
                    <c:delete val="1"/>
                    <c:extLst>
                      <c:ext uri="{CE6537A1-D6FC-4f65-9D91-7224C49458BB}"/>
                      <c:ext xmlns:c16="http://schemas.microsoft.com/office/drawing/2014/chart" uri="{C3380CC4-5D6E-409C-BE32-E72D297353CC}">
                        <c16:uniqueId val="{00000005-6B61-4677-AA26-EA7E63307C10}"/>
                      </c:ext>
                    </c:extLst>
                  </c15:dLbl>
                </c15:categoryFilterException>
                <c15:categoryFilterException>
                  <c15:sqref>'3.1'!$D$28</c15:sqref>
                  <c15:dLbl>
                    <c:idx val="-1"/>
                    <c:delete val="1"/>
                    <c:extLst>
                      <c:ext uri="{CE6537A1-D6FC-4f65-9D91-7224C49458BB}"/>
                      <c:ext xmlns:c16="http://schemas.microsoft.com/office/drawing/2014/chart" uri="{C3380CC4-5D6E-409C-BE32-E72D297353CC}">
                        <c16:uniqueId val="{00000006-6B61-4677-AA26-EA7E63307C10}"/>
                      </c:ext>
                    </c:extLst>
                  </c15:dLbl>
                </c15:categoryFilterException>
                <c15:categoryFilterException>
                  <c15:sqref>'3.1'!$D$29</c15:sqref>
                  <c15:dLbl>
                    <c:idx val="-1"/>
                    <c:delete val="1"/>
                    <c:extLst>
                      <c:ext uri="{CE6537A1-D6FC-4f65-9D91-7224C49458BB}"/>
                      <c:ext xmlns:c16="http://schemas.microsoft.com/office/drawing/2014/chart" uri="{C3380CC4-5D6E-409C-BE32-E72D297353CC}">
                        <c16:uniqueId val="{00000007-6B61-4677-AA26-EA7E63307C10}"/>
                      </c:ext>
                    </c:extLst>
                  </c15:dLbl>
                </c15:categoryFilterException>
                <c15:categoryFilterException>
                  <c15:sqref>'3.1'!$D$30</c15:sqref>
                  <c15:dLbl>
                    <c:idx val="-1"/>
                    <c:delete val="1"/>
                    <c:extLst>
                      <c:ext uri="{CE6537A1-D6FC-4f65-9D91-7224C49458BB}"/>
                      <c:ext xmlns:c16="http://schemas.microsoft.com/office/drawing/2014/chart" uri="{C3380CC4-5D6E-409C-BE32-E72D297353CC}">
                        <c16:uniqueId val="{00000008-6B61-4677-AA26-EA7E63307C10}"/>
                      </c:ext>
                    </c:extLst>
                  </c15:dLbl>
                </c15:categoryFilterException>
                <c15:categoryFilterException>
                  <c15:sqref>'3.1'!$D$31</c15:sqref>
                  <c15:dLbl>
                    <c:idx val="-1"/>
                    <c:delete val="1"/>
                    <c:extLst>
                      <c:ext uri="{CE6537A1-D6FC-4f65-9D91-7224C49458BB}"/>
                      <c:ext xmlns:c16="http://schemas.microsoft.com/office/drawing/2014/chart" uri="{C3380CC4-5D6E-409C-BE32-E72D297353CC}">
                        <c16:uniqueId val="{00000009-6B61-4677-AA26-EA7E63307C10}"/>
                      </c:ext>
                    </c:extLst>
                  </c15:dLbl>
                </c15:categoryFilterException>
                <c15:categoryFilterException>
                  <c15:sqref>'3.1'!$D$32</c15:sqref>
                  <c15:dLbl>
                    <c:idx val="-1"/>
                    <c:delete val="1"/>
                    <c:extLst>
                      <c:ext uri="{CE6537A1-D6FC-4f65-9D91-7224C49458BB}"/>
                      <c:ext xmlns:c16="http://schemas.microsoft.com/office/drawing/2014/chart" uri="{C3380CC4-5D6E-409C-BE32-E72D297353CC}">
                        <c16:uniqueId val="{0000000A-6B61-4677-AA26-EA7E63307C10}"/>
                      </c:ext>
                    </c:extLst>
                  </c15:dLbl>
                </c15:categoryFilterException>
                <c15:categoryFilterException>
                  <c15:sqref>'3.1'!$D$33</c15:sqref>
                  <c15:dLbl>
                    <c:idx val="-1"/>
                    <c:delete val="1"/>
                    <c:extLst>
                      <c:ext uri="{CE6537A1-D6FC-4f65-9D91-7224C49458BB}"/>
                      <c:ext xmlns:c16="http://schemas.microsoft.com/office/drawing/2014/chart" uri="{C3380CC4-5D6E-409C-BE32-E72D297353CC}">
                        <c16:uniqueId val="{0000000B-6B61-4677-AA26-EA7E63307C10}"/>
                      </c:ext>
                    </c:extLst>
                  </c15:dLbl>
                </c15:categoryFilterException>
              </c15:categoryFilterExceptions>
            </c:ext>
            <c:ext xmlns:c16="http://schemas.microsoft.com/office/drawing/2014/chart" uri="{C3380CC4-5D6E-409C-BE32-E72D297353CC}">
              <c16:uniqueId val="{00000001-59FB-482F-9B56-3BC5660C9ACB}"/>
            </c:ext>
          </c:extLst>
        </c:ser>
        <c:ser>
          <c:idx val="1"/>
          <c:order val="1"/>
          <c:tx>
            <c:strRef>
              <c:f>'3.1'!$G$4:$I$4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A-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19-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18-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17-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0-C0DD-45C9-9025-15FD89BB377F}"/>
                </c:ext>
              </c:extLst>
            </c:dLbl>
            <c:dLbl>
              <c:idx val="5"/>
              <c:delete val="1"/>
              <c:extLst>
                <c:ext xmlns:c15="http://schemas.microsoft.com/office/drawing/2012/chart" uri="{CE6537A1-D6FC-4f65-9D91-7224C49458BB}"/>
                <c:ext xmlns:c16="http://schemas.microsoft.com/office/drawing/2014/chart" uri="{C3380CC4-5D6E-409C-BE32-E72D297353CC}">
                  <c16:uniqueId val="{00000001-990F-4225-B225-B63A5793E834}"/>
                </c:ext>
              </c:extLst>
            </c:dLbl>
            <c:dLbl>
              <c:idx val="6"/>
              <c:delete val="1"/>
              <c:extLst>
                <c:ext xmlns:c15="http://schemas.microsoft.com/office/drawing/2012/chart" uri="{CE6537A1-D6FC-4f65-9D91-7224C49458BB}"/>
                <c:ext xmlns:c16="http://schemas.microsoft.com/office/drawing/2014/chart" uri="{C3380CC4-5D6E-409C-BE32-E72D297353CC}">
                  <c16:uniqueId val="{00000002-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1-0373-4F20-86DE-1BFD23D38A92}"/>
                </c:ext>
              </c:extLst>
            </c:dLbl>
            <c:dLbl>
              <c:idx val="8"/>
              <c:delete val="1"/>
              <c:extLst>
                <c:ext xmlns:c15="http://schemas.microsoft.com/office/drawing/2012/chart" uri="{CE6537A1-D6FC-4f65-9D91-7224C49458BB}"/>
                <c:ext xmlns:c16="http://schemas.microsoft.com/office/drawing/2014/chart" uri="{C3380CC4-5D6E-409C-BE32-E72D297353CC}">
                  <c16:uniqueId val="{00000002-0373-4F20-86DE-1BFD23D38A92}"/>
                </c:ext>
              </c:extLst>
            </c:dLbl>
            <c:dLbl>
              <c:idx val="9"/>
              <c:delete val="1"/>
              <c:extLst>
                <c:ext xmlns:c15="http://schemas.microsoft.com/office/drawing/2012/chart" uri="{CE6537A1-D6FC-4f65-9D91-7224C49458BB}"/>
                <c:ext xmlns:c16="http://schemas.microsoft.com/office/drawing/2014/chart" uri="{C3380CC4-5D6E-409C-BE32-E72D297353CC}">
                  <c16:uniqueId val="{00000002-9CC9-46EB-9395-0AE1BBAE4321}"/>
                </c:ext>
              </c:extLst>
            </c:dLbl>
            <c:dLbl>
              <c:idx val="10"/>
              <c:delete val="1"/>
              <c:extLst>
                <c:ext xmlns:c15="http://schemas.microsoft.com/office/drawing/2012/chart" uri="{CE6537A1-D6FC-4f65-9D91-7224C49458BB}"/>
                <c:ext xmlns:c16="http://schemas.microsoft.com/office/drawing/2014/chart" uri="{C3380CC4-5D6E-409C-BE32-E72D297353CC}">
                  <c16:uniqueId val="{00000001-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D-622E-4DF6-B44C-5CFF7594A19A}"/>
                </c:ext>
              </c:extLst>
            </c:dLbl>
            <c:dLbl>
              <c:idx val="12"/>
              <c:delete val="1"/>
              <c:extLst>
                <c:ext xmlns:c15="http://schemas.microsoft.com/office/drawing/2012/chart" uri="{CE6537A1-D6FC-4f65-9D91-7224C49458BB}"/>
                <c:ext xmlns:c16="http://schemas.microsoft.com/office/drawing/2014/chart" uri="{C3380CC4-5D6E-409C-BE32-E72D297353CC}">
                  <c16:uniqueId val="{0000000D-7AF4-4277-8452-0526E9E900FF}"/>
                </c:ext>
              </c:extLst>
            </c:dLbl>
            <c:dLbl>
              <c:idx val="13"/>
              <c:delete val="1"/>
              <c:extLst>
                <c:ext xmlns:c15="http://schemas.microsoft.com/office/drawing/2012/chart" uri="{CE6537A1-D6FC-4f65-9D91-7224C49458BB}"/>
                <c:ext xmlns:c16="http://schemas.microsoft.com/office/drawing/2014/chart" uri="{C3380CC4-5D6E-409C-BE32-E72D297353CC}">
                  <c16:uniqueId val="{0000000D-D218-46AC-B509-011BA0EF196C}"/>
                </c:ext>
              </c:extLst>
            </c:dLbl>
            <c:dLbl>
              <c:idx val="14"/>
              <c:delete val="1"/>
              <c:extLst>
                <c:ext xmlns:c15="http://schemas.microsoft.com/office/drawing/2012/chart" uri="{CE6537A1-D6FC-4f65-9D91-7224C49458BB}"/>
                <c:ext xmlns:c16="http://schemas.microsoft.com/office/drawing/2014/chart" uri="{C3380CC4-5D6E-409C-BE32-E72D297353CC}">
                  <c16:uniqueId val="{0000000D-3976-4B13-AEAC-A861D41FD573}"/>
                </c:ext>
              </c:extLst>
            </c:dLbl>
            <c:dLbl>
              <c:idx val="15"/>
              <c:delete val="1"/>
              <c:extLst>
                <c:ext xmlns:c15="http://schemas.microsoft.com/office/drawing/2012/chart" uri="{CE6537A1-D6FC-4f65-9D91-7224C49458BB}"/>
                <c:ext xmlns:c16="http://schemas.microsoft.com/office/drawing/2014/chart" uri="{C3380CC4-5D6E-409C-BE32-E72D297353CC}">
                  <c16:uniqueId val="{00000018-701E-4FF3-AF6E-F1303B995720}"/>
                </c:ext>
              </c:extLst>
            </c:dLbl>
            <c:dLbl>
              <c:idx val="16"/>
              <c:delete val="1"/>
              <c:extLst>
                <c:ext xmlns:c15="http://schemas.microsoft.com/office/drawing/2012/chart" uri="{CE6537A1-D6FC-4f65-9D91-7224C49458BB}"/>
                <c:ext xmlns:c16="http://schemas.microsoft.com/office/drawing/2014/chart" uri="{C3380CC4-5D6E-409C-BE32-E72D297353CC}">
                  <c16:uniqueId val="{0000001A-3B88-478F-AF2A-332C7AAD1503}"/>
                </c:ext>
              </c:extLst>
            </c:dLbl>
            <c:dLbl>
              <c:idx val="17"/>
              <c:delete val="1"/>
              <c:extLst>
                <c:ext xmlns:c15="http://schemas.microsoft.com/office/drawing/2012/chart" uri="{CE6537A1-D6FC-4f65-9D91-7224C49458BB}"/>
                <c:ext xmlns:c16="http://schemas.microsoft.com/office/drawing/2014/chart" uri="{C3380CC4-5D6E-409C-BE32-E72D297353CC}">
                  <c16:uniqueId val="{00000019-6449-4683-9BB5-8291E2A5C020}"/>
                </c:ext>
              </c:extLst>
            </c:dLbl>
            <c:dLbl>
              <c:idx val="18"/>
              <c:delete val="1"/>
              <c:extLst>
                <c:ext xmlns:c15="http://schemas.microsoft.com/office/drawing/2012/chart" uri="{CE6537A1-D6FC-4f65-9D91-7224C49458BB}"/>
                <c:ext xmlns:c16="http://schemas.microsoft.com/office/drawing/2014/chart" uri="{C3380CC4-5D6E-409C-BE32-E72D297353CC}">
                  <c16:uniqueId val="{0000001B-6449-4683-9BB5-8291E2A5C020}"/>
                </c:ext>
              </c:extLst>
            </c:dLbl>
            <c:dLbl>
              <c:idx val="19"/>
              <c:delete val="1"/>
              <c:extLst>
                <c:ext xmlns:c15="http://schemas.microsoft.com/office/drawing/2012/chart" uri="{CE6537A1-D6FC-4f65-9D91-7224C49458BB}"/>
                <c:ext xmlns:c16="http://schemas.microsoft.com/office/drawing/2014/chart" uri="{C3380CC4-5D6E-409C-BE32-E72D297353CC}">
                  <c16:uniqueId val="{0000001A-0249-4373-B340-FF12BD235875}"/>
                </c:ext>
              </c:extLst>
            </c:dLbl>
            <c:dLbl>
              <c:idx val="20"/>
              <c:delete val="1"/>
              <c:extLst>
                <c:ext xmlns:c15="http://schemas.microsoft.com/office/drawing/2012/chart" uri="{CE6537A1-D6FC-4f65-9D91-7224C49458BB}"/>
                <c:ext xmlns:c16="http://schemas.microsoft.com/office/drawing/2014/chart" uri="{C3380CC4-5D6E-409C-BE32-E72D297353CC}">
                  <c16:uniqueId val="{00000019-F4CC-46F9-AEBF-72AA228C718A}"/>
                </c:ext>
              </c:extLst>
            </c:dLbl>
            <c:dLbl>
              <c:idx val="21"/>
              <c:delete val="1"/>
              <c:extLst>
                <c:ext xmlns:c15="http://schemas.microsoft.com/office/drawing/2012/chart" uri="{CE6537A1-D6FC-4f65-9D91-7224C49458BB}"/>
                <c:ext xmlns:c16="http://schemas.microsoft.com/office/drawing/2014/chart" uri="{C3380CC4-5D6E-409C-BE32-E72D297353CC}">
                  <c16:uniqueId val="{00000019-DB61-4541-A14E-0639E4FB97BF}"/>
                </c:ext>
              </c:extLst>
            </c:dLbl>
            <c:dLbl>
              <c:idx val="22"/>
              <c:delete val="1"/>
              <c:extLst>
                <c:ext xmlns:c15="http://schemas.microsoft.com/office/drawing/2012/chart" uri="{CE6537A1-D6FC-4f65-9D91-7224C49458BB}"/>
                <c:ext xmlns:c16="http://schemas.microsoft.com/office/drawing/2014/chart" uri="{C3380CC4-5D6E-409C-BE32-E72D297353CC}">
                  <c16:uniqueId val="{0000001B-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A-0075-4D1C-BF94-B3B5FA2B59EF}"/>
                </c:ext>
              </c:extLst>
            </c:dLbl>
            <c:dLbl>
              <c:idx val="24"/>
              <c:delete val="1"/>
              <c:extLst>
                <c:ext xmlns:c15="http://schemas.microsoft.com/office/drawing/2012/chart" uri="{CE6537A1-D6FC-4f65-9D91-7224C49458BB}"/>
                <c:ext xmlns:c16="http://schemas.microsoft.com/office/drawing/2014/chart" uri="{C3380CC4-5D6E-409C-BE32-E72D297353CC}">
                  <c16:uniqueId val="{00000019-588A-45E1-BAEA-4460B2A815FB}"/>
                </c:ext>
              </c:extLst>
            </c:dLbl>
            <c:dLbl>
              <c:idx val="25"/>
              <c:delete val="1"/>
              <c:extLst>
                <c:ext xmlns:c15="http://schemas.microsoft.com/office/drawing/2012/chart" uri="{CE6537A1-D6FC-4f65-9D91-7224C49458BB}"/>
                <c:ext xmlns:c16="http://schemas.microsoft.com/office/drawing/2014/chart" uri="{C3380CC4-5D6E-409C-BE32-E72D297353CC}">
                  <c16:uniqueId val="{0000001A-9EE0-4BD6-B6BF-801140200E60}"/>
                </c:ext>
              </c:extLst>
            </c:dLbl>
            <c:dLbl>
              <c:idx val="26"/>
              <c:delete val="1"/>
              <c:extLst>
                <c:ext xmlns:c15="http://schemas.microsoft.com/office/drawing/2012/chart" uri="{CE6537A1-D6FC-4f65-9D91-7224C49458BB}"/>
                <c:ext xmlns:c16="http://schemas.microsoft.com/office/drawing/2014/chart" uri="{C3380CC4-5D6E-409C-BE32-E72D297353CC}">
                  <c16:uniqueId val="{00000019-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9-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9-CF26-4535-BEFD-865A0D513078}"/>
                </c:ext>
              </c:extLst>
            </c:dLbl>
            <c:dLbl>
              <c:idx val="29"/>
              <c:delete val="1"/>
              <c:extLst>
                <c:ext xmlns:c15="http://schemas.microsoft.com/office/drawing/2012/chart" uri="{CE6537A1-D6FC-4f65-9D91-7224C49458BB}"/>
                <c:ext xmlns:c16="http://schemas.microsoft.com/office/drawing/2014/chart" uri="{C3380CC4-5D6E-409C-BE32-E72D297353CC}">
                  <c16:uniqueId val="{00000025-0A12-4AC4-A8CB-8BA5435613AE}"/>
                </c:ext>
              </c:extLst>
            </c:dLbl>
            <c:dLbl>
              <c:idx val="30"/>
              <c:delete val="1"/>
              <c:extLst>
                <c:ext xmlns:c15="http://schemas.microsoft.com/office/drawing/2012/chart" uri="{CE6537A1-D6FC-4f65-9D91-7224C49458BB}"/>
                <c:ext xmlns:c16="http://schemas.microsoft.com/office/drawing/2014/chart" uri="{C3380CC4-5D6E-409C-BE32-E72D297353CC}">
                  <c16:uniqueId val="{00000025-5906-4915-BB3A-FB757AEA3E4E}"/>
                </c:ext>
              </c:extLst>
            </c:dLbl>
            <c:dLbl>
              <c:idx val="31"/>
              <c:delete val="1"/>
              <c:extLst>
                <c:ext xmlns:c15="http://schemas.microsoft.com/office/drawing/2012/chart" uri="{CE6537A1-D6FC-4f65-9D91-7224C49458BB}"/>
                <c:ext xmlns:c16="http://schemas.microsoft.com/office/drawing/2014/chart" uri="{C3380CC4-5D6E-409C-BE32-E72D297353CC}">
                  <c16:uniqueId val="{00000027-5906-4915-BB3A-FB757AEA3E4E}"/>
                </c:ext>
              </c:extLst>
            </c:dLbl>
            <c:spPr>
              <a:noFill/>
              <a:ln>
                <a:noFill/>
              </a:ln>
              <a:effectLst/>
            </c:spPr>
            <c:txPr>
              <a:bodyPr wrap="square" lIns="38100" tIns="19050" rIns="38100" bIns="19050" anchor="ctr">
                <a:spAutoFit/>
              </a:bodyPr>
              <a:lstStyle/>
              <a:p>
                <a:pPr>
                  <a:defRPr sz="1200">
                    <a:solidFill>
                      <a:sysClr val="windowText" lastClr="000000"/>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'3.1'!$A$14:$B$66</c15:sqref>
                  </c15:fullRef>
                </c:ext>
              </c:extLst>
              <c:f>'3.1'!$A$34:$B$66</c:f>
              <c:multiLvlStrCache>
                <c:ptCount val="3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lvl>
                <c:lvl>
                  <c:pt idx="0">
                    <c:v>2018</c:v>
                  </c:pt>
                  <c:pt idx="4">
                    <c:v>2019</c:v>
                  </c:pt>
                  <c:pt idx="8">
                    <c:v>2020</c:v>
                  </c:pt>
                  <c:pt idx="12">
                    <c:v>2021</c:v>
                  </c:pt>
                  <c:pt idx="16">
                    <c:v>2022</c:v>
                  </c:pt>
                  <c:pt idx="20">
                    <c:v>2023</c:v>
                  </c:pt>
                  <c:pt idx="24">
                    <c:v>2024</c:v>
                  </c:pt>
                  <c:pt idx="28">
                    <c:v>2025</c:v>
                  </c:pt>
                  <c:pt idx="32">
                    <c:v>2026</c:v>
                  </c:pt>
                </c:lvl>
              </c:multiLvlStrCache>
            </c:multiLvlStrRef>
          </c:cat>
          <c:val>
            <c:numRef>
              <c:extLst>
                <c:ext xmlns:c15="http://schemas.microsoft.com/office/drawing/2012/chart" uri="{02D57815-91ED-43cb-92C2-25804820EDAC}">
                  <c15:fullRef>
                    <c15:sqref>'3.1'!$G$14:$G$66</c15:sqref>
                  </c15:fullRef>
                </c:ext>
              </c:extLst>
              <c:f>'3.1'!$G$34:$G$66</c:f>
              <c:numCache>
                <c:formatCode>#,##0.00;[Red]#,##0.00</c:formatCode>
                <c:ptCount val="33"/>
                <c:pt idx="0">
                  <c:v>502.15000000000003</c:v>
                </c:pt>
                <c:pt idx="1">
                  <c:v>517.14</c:v>
                </c:pt>
                <c:pt idx="2">
                  <c:v>532.06000000000006</c:v>
                </c:pt>
                <c:pt idx="3">
                  <c:v>543.98</c:v>
                </c:pt>
                <c:pt idx="4">
                  <c:v>541.16</c:v>
                </c:pt>
                <c:pt idx="5">
                  <c:v>568.73</c:v>
                </c:pt>
                <c:pt idx="6">
                  <c:v>546.98</c:v>
                </c:pt>
                <c:pt idx="7">
                  <c:v>561.11</c:v>
                </c:pt>
                <c:pt idx="8">
                  <c:v>597.59</c:v>
                </c:pt>
                <c:pt idx="9">
                  <c:v>582</c:v>
                </c:pt>
                <c:pt idx="10">
                  <c:v>571.01</c:v>
                </c:pt>
                <c:pt idx="11">
                  <c:v>595.74</c:v>
                </c:pt>
                <c:pt idx="12">
                  <c:v>601.95000000000005</c:v>
                </c:pt>
                <c:pt idx="13">
                  <c:v>616.69000000000005</c:v>
                </c:pt>
                <c:pt idx="14">
                  <c:v>619.07100000000003</c:v>
                </c:pt>
                <c:pt idx="15">
                  <c:v>610.01</c:v>
                </c:pt>
                <c:pt idx="16">
                  <c:v>630.11</c:v>
                </c:pt>
                <c:pt idx="17">
                  <c:v>618.91499999999996</c:v>
                </c:pt>
                <c:pt idx="18">
                  <c:v>624.45000000000005</c:v>
                </c:pt>
                <c:pt idx="19">
                  <c:v>642.26</c:v>
                </c:pt>
                <c:pt idx="20">
                  <c:v>649.68000000000006</c:v>
                </c:pt>
                <c:pt idx="21">
                  <c:v>642.32500000000005</c:v>
                </c:pt>
                <c:pt idx="22">
                  <c:v>642.30200000000002</c:v>
                </c:pt>
                <c:pt idx="23">
                  <c:v>662.62</c:v>
                </c:pt>
                <c:pt idx="24">
                  <c:v>660.04</c:v>
                </c:pt>
                <c:pt idx="25">
                  <c:v>618.04</c:v>
                </c:pt>
                <c:pt idx="26">
                  <c:v>608.58000000000004</c:v>
                </c:pt>
                <c:pt idx="27">
                  <c:v>604.88</c:v>
                </c:pt>
                <c:pt idx="28">
                  <c:v>608.81100000000004</c:v>
                </c:pt>
                <c:pt idx="29">
                  <c:v>640.18000000000006</c:v>
                </c:pt>
                <c:pt idx="30">
                  <c:v>624.29700000000003</c:v>
                </c:pt>
                <c:pt idx="31">
                  <c:v>619.78200000000004</c:v>
                </c:pt>
                <c:pt idx="32">
                  <c:v>633.71500000000003</c:v>
                </c:pt>
              </c:numCache>
            </c:numRef>
          </c:val>
          <c:extLst>
            <c:ext xmlns:c15="http://schemas.microsoft.com/office/drawing/2012/chart" uri="{02D57815-91ED-43cb-92C2-25804820EDAC}">
              <c15:categoryFilterExceptions>
                <c15:categoryFilterException>
                  <c15:sqref>'3.1'!$G$22</c15:sqref>
                  <c15:dLbl>
                    <c:idx val="-1"/>
                    <c:delete val="1"/>
                    <c:extLst>
                      <c:ext uri="{CE6537A1-D6FC-4f65-9D91-7224C49458BB}"/>
                      <c:ext xmlns:c16="http://schemas.microsoft.com/office/drawing/2014/chart" uri="{C3380CC4-5D6E-409C-BE32-E72D297353CC}">
                        <c16:uniqueId val="{0000000C-6B61-4677-AA26-EA7E63307C10}"/>
                      </c:ext>
                    </c:extLst>
                  </c15:dLbl>
                </c15:categoryFilterException>
                <c15:categoryFilterException>
                  <c15:sqref>'3.1'!$G$23</c15:sqref>
                  <c15:dLbl>
                    <c:idx val="-1"/>
                    <c:delete val="1"/>
                    <c:extLst>
                      <c:ext uri="{CE6537A1-D6FC-4f65-9D91-7224C49458BB}"/>
                      <c:ext xmlns:c16="http://schemas.microsoft.com/office/drawing/2014/chart" uri="{C3380CC4-5D6E-409C-BE32-E72D297353CC}">
                        <c16:uniqueId val="{0000000D-6B61-4677-AA26-EA7E63307C10}"/>
                      </c:ext>
                    </c:extLst>
                  </c15:dLbl>
                </c15:categoryFilterException>
                <c15:categoryFilterException>
                  <c15:sqref>'3.1'!$G$24</c15:sqref>
                  <c15:dLbl>
                    <c:idx val="-1"/>
                    <c:delete val="1"/>
                    <c:extLst>
                      <c:ext uri="{CE6537A1-D6FC-4f65-9D91-7224C49458BB}"/>
                      <c:ext xmlns:c16="http://schemas.microsoft.com/office/drawing/2014/chart" uri="{C3380CC4-5D6E-409C-BE32-E72D297353CC}">
                        <c16:uniqueId val="{0000000E-6B61-4677-AA26-EA7E63307C10}"/>
                      </c:ext>
                    </c:extLst>
                  </c15:dLbl>
                </c15:categoryFilterException>
                <c15:categoryFilterException>
                  <c15:sqref>'3.1'!$G$25</c15:sqref>
                  <c15:dLbl>
                    <c:idx val="-1"/>
                    <c:delete val="1"/>
                    <c:extLst>
                      <c:ext uri="{CE6537A1-D6FC-4f65-9D91-7224C49458BB}"/>
                      <c:ext xmlns:c16="http://schemas.microsoft.com/office/drawing/2014/chart" uri="{C3380CC4-5D6E-409C-BE32-E72D297353CC}">
                        <c16:uniqueId val="{0000000F-6B61-4677-AA26-EA7E63307C10}"/>
                      </c:ext>
                    </c:extLst>
                  </c15:dLbl>
                </c15:categoryFilterException>
                <c15:categoryFilterException>
                  <c15:sqref>'3.1'!$G$26</c15:sqref>
                  <c15:dLbl>
                    <c:idx val="-1"/>
                    <c:delete val="1"/>
                    <c:extLst>
                      <c:ext uri="{CE6537A1-D6FC-4f65-9D91-7224C49458BB}"/>
                      <c:ext xmlns:c16="http://schemas.microsoft.com/office/drawing/2014/chart" uri="{C3380CC4-5D6E-409C-BE32-E72D297353CC}">
                        <c16:uniqueId val="{00000010-6B61-4677-AA26-EA7E63307C10}"/>
                      </c:ext>
                    </c:extLst>
                  </c15:dLbl>
                </c15:categoryFilterException>
                <c15:categoryFilterException>
                  <c15:sqref>'3.1'!$G$27</c15:sqref>
                  <c15:dLbl>
                    <c:idx val="-1"/>
                    <c:delete val="1"/>
                    <c:extLst>
                      <c:ext uri="{CE6537A1-D6FC-4f65-9D91-7224C49458BB}"/>
                      <c:ext xmlns:c16="http://schemas.microsoft.com/office/drawing/2014/chart" uri="{C3380CC4-5D6E-409C-BE32-E72D297353CC}">
                        <c16:uniqueId val="{00000011-6B61-4677-AA26-EA7E63307C10}"/>
                      </c:ext>
                    </c:extLst>
                  </c15:dLbl>
                </c15:categoryFilterException>
                <c15:categoryFilterException>
                  <c15:sqref>'3.1'!$G$28</c15:sqref>
                  <c15:dLbl>
                    <c:idx val="-1"/>
                    <c:delete val="1"/>
                    <c:extLst>
                      <c:ext uri="{CE6537A1-D6FC-4f65-9D91-7224C49458BB}"/>
                      <c:ext xmlns:c16="http://schemas.microsoft.com/office/drawing/2014/chart" uri="{C3380CC4-5D6E-409C-BE32-E72D297353CC}">
                        <c16:uniqueId val="{00000012-6B61-4677-AA26-EA7E63307C10}"/>
                      </c:ext>
                    </c:extLst>
                  </c15:dLbl>
                </c15:categoryFilterException>
                <c15:categoryFilterException>
                  <c15:sqref>'3.1'!$G$29</c15:sqref>
                  <c15:dLbl>
                    <c:idx val="-1"/>
                    <c:delete val="1"/>
                    <c:extLst>
                      <c:ext uri="{CE6537A1-D6FC-4f65-9D91-7224C49458BB}"/>
                      <c:ext xmlns:c16="http://schemas.microsoft.com/office/drawing/2014/chart" uri="{C3380CC4-5D6E-409C-BE32-E72D297353CC}">
                        <c16:uniqueId val="{00000013-6B61-4677-AA26-EA7E63307C10}"/>
                      </c:ext>
                    </c:extLst>
                  </c15:dLbl>
                </c15:categoryFilterException>
                <c15:categoryFilterException>
                  <c15:sqref>'3.1'!$G$30</c15:sqref>
                  <c15:dLbl>
                    <c:idx val="-1"/>
                    <c:delete val="1"/>
                    <c:extLst>
                      <c:ext uri="{CE6537A1-D6FC-4f65-9D91-7224C49458BB}"/>
                      <c:ext xmlns:c16="http://schemas.microsoft.com/office/drawing/2014/chart" uri="{C3380CC4-5D6E-409C-BE32-E72D297353CC}">
                        <c16:uniqueId val="{00000014-6B61-4677-AA26-EA7E63307C10}"/>
                      </c:ext>
                    </c:extLst>
                  </c15:dLbl>
                </c15:categoryFilterException>
                <c15:categoryFilterException>
                  <c15:sqref>'3.1'!$G$31</c15:sqref>
                  <c15:dLbl>
                    <c:idx val="-1"/>
                    <c:delete val="1"/>
                    <c:extLst>
                      <c:ext uri="{CE6537A1-D6FC-4f65-9D91-7224C49458BB}"/>
                      <c:ext xmlns:c16="http://schemas.microsoft.com/office/drawing/2014/chart" uri="{C3380CC4-5D6E-409C-BE32-E72D297353CC}">
                        <c16:uniqueId val="{00000015-6B61-4677-AA26-EA7E63307C10}"/>
                      </c:ext>
                    </c:extLst>
                  </c15:dLbl>
                </c15:categoryFilterException>
                <c15:categoryFilterException>
                  <c15:sqref>'3.1'!$G$32</c15:sqref>
                  <c15:dLbl>
                    <c:idx val="-1"/>
                    <c:delete val="1"/>
                    <c:extLst>
                      <c:ext uri="{CE6537A1-D6FC-4f65-9D91-7224C49458BB}"/>
                      <c:ext xmlns:c16="http://schemas.microsoft.com/office/drawing/2014/chart" uri="{C3380CC4-5D6E-409C-BE32-E72D297353CC}">
                        <c16:uniqueId val="{00000016-6B61-4677-AA26-EA7E63307C10}"/>
                      </c:ext>
                    </c:extLst>
                  </c15:dLbl>
                </c15:categoryFilterException>
                <c15:categoryFilterException>
                  <c15:sqref>'3.1'!$G$33</c15:sqref>
                  <c15:dLbl>
                    <c:idx val="-1"/>
                    <c:delete val="1"/>
                    <c:extLst>
                      <c:ext uri="{CE6537A1-D6FC-4f65-9D91-7224C49458BB}"/>
                      <c:ext xmlns:c16="http://schemas.microsoft.com/office/drawing/2014/chart" uri="{C3380CC4-5D6E-409C-BE32-E72D297353CC}">
                        <c16:uniqueId val="{00000017-6B61-4677-AA26-EA7E63307C10}"/>
                      </c:ext>
                    </c:extLst>
                  </c15:dLbl>
                </c15:categoryFilterException>
              </c15:categoryFilterExceptions>
            </c:ext>
            <c:ext xmlns:c16="http://schemas.microsoft.com/office/drawing/2014/chart" uri="{C3380CC4-5D6E-409C-BE32-E72D297353CC}">
              <c16:uniqueId val="{00000003-59FB-482F-9B56-3BC5660C9ACB}"/>
            </c:ext>
          </c:extLst>
        </c:ser>
        <c:dLbls>
          <c:showLegendKey val="0"/>
          <c:showVal val="1"/>
          <c:showCatName val="0"/>
          <c:showSerName val="0"/>
          <c:showPercent val="0"/>
          <c:showBubbleSize val="0"/>
        </c:dLbls>
        <c:gapWidth val="55"/>
        <c:overlap val="100"/>
        <c:axId val="486515560"/>
        <c:axId val="486515952"/>
      </c:barChart>
      <c:lineChart>
        <c:grouping val="standard"/>
        <c:varyColors val="0"/>
        <c:ser>
          <c:idx val="2"/>
          <c:order val="2"/>
          <c:tx>
            <c:strRef>
              <c:f>'3.1'!$C$4:$C$5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6-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05-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04-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03-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0-E9DA-4957-80EA-2F006244E6DA}"/>
                </c:ext>
              </c:extLst>
            </c:dLbl>
            <c:dLbl>
              <c:idx val="5"/>
              <c:delete val="1"/>
              <c:extLst>
                <c:ext xmlns:c15="http://schemas.microsoft.com/office/drawing/2012/chart" uri="{CE6537A1-D6FC-4f65-9D91-7224C49458BB}"/>
                <c:ext xmlns:c16="http://schemas.microsoft.com/office/drawing/2014/chart" uri="{C3380CC4-5D6E-409C-BE32-E72D297353CC}">
                  <c16:uniqueId val="{00000002-C0DD-45C9-9025-15FD89BB377F}"/>
                </c:ext>
              </c:extLst>
            </c:dLbl>
            <c:dLbl>
              <c:idx val="6"/>
              <c:delete val="1"/>
              <c:extLst>
                <c:ext xmlns:c15="http://schemas.microsoft.com/office/drawing/2012/chart" uri="{CE6537A1-D6FC-4f65-9D91-7224C49458BB}"/>
                <c:ext xmlns:c16="http://schemas.microsoft.com/office/drawing/2014/chart" uri="{C3380CC4-5D6E-409C-BE32-E72D297353CC}">
                  <c16:uniqueId val="{00000000-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0-A54F-4ABF-80ED-B38E462B6969}"/>
                </c:ext>
              </c:extLst>
            </c:dLbl>
            <c:dLbl>
              <c:idx val="8"/>
              <c:delete val="1"/>
              <c:extLst>
                <c:ext xmlns:c15="http://schemas.microsoft.com/office/drawing/2012/chart" uri="{CE6537A1-D6FC-4f65-9D91-7224C49458BB}"/>
                <c:ext xmlns:c16="http://schemas.microsoft.com/office/drawing/2014/chart" uri="{C3380CC4-5D6E-409C-BE32-E72D297353CC}">
                  <c16:uniqueId val="{00000000-0373-4F20-86DE-1BFD23D38A92}"/>
                </c:ext>
              </c:extLst>
            </c:dLbl>
            <c:dLbl>
              <c:idx val="9"/>
              <c:delete val="1"/>
              <c:extLst>
                <c:ext xmlns:c15="http://schemas.microsoft.com/office/drawing/2012/chart" uri="{CE6537A1-D6FC-4f65-9D91-7224C49458BB}"/>
                <c:ext xmlns:c16="http://schemas.microsoft.com/office/drawing/2014/chart" uri="{C3380CC4-5D6E-409C-BE32-E72D297353CC}">
                  <c16:uniqueId val="{00000000-D084-4FA4-B3B2-727709EC1758}"/>
                </c:ext>
              </c:extLst>
            </c:dLbl>
            <c:dLbl>
              <c:idx val="10"/>
              <c:delete val="1"/>
              <c:extLst>
                <c:ext xmlns:c15="http://schemas.microsoft.com/office/drawing/2012/chart" uri="{CE6537A1-D6FC-4f65-9D91-7224C49458BB}"/>
                <c:ext xmlns:c16="http://schemas.microsoft.com/office/drawing/2014/chart" uri="{C3380CC4-5D6E-409C-BE32-E72D297353CC}">
                  <c16:uniqueId val="{00000000-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0-619B-4C3F-9B44-BFAA9E65389C}"/>
                </c:ext>
              </c:extLst>
            </c:dLbl>
            <c:dLbl>
              <c:idx val="12"/>
              <c:delete val="1"/>
              <c:extLst>
                <c:ext xmlns:c15="http://schemas.microsoft.com/office/drawing/2012/chart" uri="{CE6537A1-D6FC-4f65-9D91-7224C49458BB}"/>
                <c:ext xmlns:c16="http://schemas.microsoft.com/office/drawing/2014/chart" uri="{C3380CC4-5D6E-409C-BE32-E72D297353CC}">
                  <c16:uniqueId val="{0000000C-622E-4DF6-B44C-5CFF7594A19A}"/>
                </c:ext>
              </c:extLst>
            </c:dLbl>
            <c:dLbl>
              <c:idx val="13"/>
              <c:delete val="1"/>
              <c:extLst>
                <c:ext xmlns:c15="http://schemas.microsoft.com/office/drawing/2012/chart" uri="{CE6537A1-D6FC-4f65-9D91-7224C49458BB}"/>
                <c:ext xmlns:c16="http://schemas.microsoft.com/office/drawing/2014/chart" uri="{C3380CC4-5D6E-409C-BE32-E72D297353CC}">
                  <c16:uniqueId val="{0000000C-7AF4-4277-8452-0526E9E900FF}"/>
                </c:ext>
              </c:extLst>
            </c:dLbl>
            <c:dLbl>
              <c:idx val="14"/>
              <c:delete val="1"/>
              <c:extLst>
                <c:ext xmlns:c15="http://schemas.microsoft.com/office/drawing/2012/chart" uri="{CE6537A1-D6FC-4f65-9D91-7224C49458BB}"/>
                <c:ext xmlns:c16="http://schemas.microsoft.com/office/drawing/2014/chart" uri="{C3380CC4-5D6E-409C-BE32-E72D297353CC}">
                  <c16:uniqueId val="{0000000C-D218-46AC-B509-011BA0EF196C}"/>
                </c:ext>
              </c:extLst>
            </c:dLbl>
            <c:dLbl>
              <c:idx val="15"/>
              <c:delete val="1"/>
              <c:extLst>
                <c:ext xmlns:c15="http://schemas.microsoft.com/office/drawing/2012/chart" uri="{CE6537A1-D6FC-4f65-9D91-7224C49458BB}"/>
                <c:ext xmlns:c16="http://schemas.microsoft.com/office/drawing/2014/chart" uri="{C3380CC4-5D6E-409C-BE32-E72D297353CC}">
                  <c16:uniqueId val="{0000000E-3976-4B13-AEAC-A861D41FD573}"/>
                </c:ext>
              </c:extLst>
            </c:dLbl>
            <c:dLbl>
              <c:idx val="16"/>
              <c:delete val="1"/>
              <c:extLst>
                <c:ext xmlns:c15="http://schemas.microsoft.com/office/drawing/2012/chart" uri="{CE6537A1-D6FC-4f65-9D91-7224C49458BB}"/>
                <c:ext xmlns:c16="http://schemas.microsoft.com/office/drawing/2014/chart" uri="{C3380CC4-5D6E-409C-BE32-E72D297353CC}">
                  <c16:uniqueId val="{00000019-3B88-478F-AF2A-332C7AAD1503}"/>
                </c:ext>
              </c:extLst>
            </c:dLbl>
            <c:dLbl>
              <c:idx val="17"/>
              <c:delete val="1"/>
              <c:extLst>
                <c:ext xmlns:c15="http://schemas.microsoft.com/office/drawing/2012/chart" uri="{CE6537A1-D6FC-4f65-9D91-7224C49458BB}"/>
                <c:ext xmlns:c16="http://schemas.microsoft.com/office/drawing/2014/chart" uri="{C3380CC4-5D6E-409C-BE32-E72D297353CC}">
                  <c16:uniqueId val="{00000018-6833-4B4C-98D8-AD6AE1F15ACC}"/>
                </c:ext>
              </c:extLst>
            </c:dLbl>
            <c:dLbl>
              <c:idx val="18"/>
              <c:delete val="1"/>
              <c:extLst>
                <c:ext xmlns:c15="http://schemas.microsoft.com/office/drawing/2012/chart" uri="{CE6537A1-D6FC-4f65-9D91-7224C49458BB}"/>
                <c:ext xmlns:c16="http://schemas.microsoft.com/office/drawing/2014/chart" uri="{C3380CC4-5D6E-409C-BE32-E72D297353CC}">
                  <c16:uniqueId val="{0000001A-6449-4683-9BB5-8291E2A5C020}"/>
                </c:ext>
              </c:extLst>
            </c:dLbl>
            <c:dLbl>
              <c:idx val="19"/>
              <c:delete val="1"/>
              <c:extLst>
                <c:ext xmlns:c15="http://schemas.microsoft.com/office/drawing/2012/chart" uri="{CE6537A1-D6FC-4f65-9D91-7224C49458BB}"/>
                <c:ext xmlns:c16="http://schemas.microsoft.com/office/drawing/2014/chart" uri="{C3380CC4-5D6E-409C-BE32-E72D297353CC}">
                  <c16:uniqueId val="{00000018-0249-4373-B340-FF12BD235875}"/>
                </c:ext>
              </c:extLst>
            </c:dLbl>
            <c:dLbl>
              <c:idx val="20"/>
              <c:delete val="1"/>
              <c:extLst>
                <c:ext xmlns:c15="http://schemas.microsoft.com/office/drawing/2012/chart" uri="{CE6537A1-D6FC-4f65-9D91-7224C49458BB}"/>
                <c:ext xmlns:c16="http://schemas.microsoft.com/office/drawing/2014/chart" uri="{C3380CC4-5D6E-409C-BE32-E72D297353CC}">
                  <c16:uniqueId val="{00000019-DF43-4CEE-A2BA-A78455FFC6B8}"/>
                </c:ext>
              </c:extLst>
            </c:dLbl>
            <c:dLbl>
              <c:idx val="21"/>
              <c:delete val="1"/>
              <c:extLst>
                <c:ext xmlns:c15="http://schemas.microsoft.com/office/drawing/2012/chart" uri="{CE6537A1-D6FC-4f65-9D91-7224C49458BB}"/>
                <c:ext xmlns:c16="http://schemas.microsoft.com/office/drawing/2014/chart" uri="{C3380CC4-5D6E-409C-BE32-E72D297353CC}">
                  <c16:uniqueId val="{0000001A-F4CC-46F9-AEBF-72AA228C718A}"/>
                </c:ext>
              </c:extLst>
            </c:dLbl>
            <c:dLbl>
              <c:idx val="22"/>
              <c:delete val="1"/>
              <c:extLst>
                <c:ext xmlns:c15="http://schemas.microsoft.com/office/drawing/2012/chart" uri="{CE6537A1-D6FC-4f65-9D91-7224C49458BB}"/>
                <c:ext xmlns:c16="http://schemas.microsoft.com/office/drawing/2014/chart" uri="{C3380CC4-5D6E-409C-BE32-E72D297353CC}">
                  <c16:uniqueId val="{00000018-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9-DCA5-4234-9873-5593B3B1656B}"/>
                </c:ext>
              </c:extLst>
            </c:dLbl>
            <c:dLbl>
              <c:idx val="24"/>
              <c:delete val="1"/>
              <c:extLst>
                <c:ext xmlns:c15="http://schemas.microsoft.com/office/drawing/2012/chart" uri="{CE6537A1-D6FC-4f65-9D91-7224C49458BB}"/>
                <c:ext xmlns:c16="http://schemas.microsoft.com/office/drawing/2014/chart" uri="{C3380CC4-5D6E-409C-BE32-E72D297353CC}">
                  <c16:uniqueId val="{00000019-0075-4D1C-BF94-B3B5FA2B59EF}"/>
                </c:ext>
              </c:extLst>
            </c:dLbl>
            <c:dLbl>
              <c:idx val="25"/>
              <c:delete val="1"/>
              <c:extLst>
                <c:ext xmlns:c15="http://schemas.microsoft.com/office/drawing/2012/chart" uri="{CE6537A1-D6FC-4f65-9D91-7224C49458BB}"/>
                <c:ext xmlns:c16="http://schemas.microsoft.com/office/drawing/2014/chart" uri="{C3380CC4-5D6E-409C-BE32-E72D297353CC}">
                  <c16:uniqueId val="{0000001A-588A-45E1-BAEA-4460B2A815FB}"/>
                </c:ext>
              </c:extLst>
            </c:dLbl>
            <c:dLbl>
              <c:idx val="26"/>
              <c:delete val="1"/>
              <c:extLst>
                <c:ext xmlns:c15="http://schemas.microsoft.com/office/drawing/2012/chart" uri="{CE6537A1-D6FC-4f65-9D91-7224C49458BB}"/>
                <c:ext xmlns:c16="http://schemas.microsoft.com/office/drawing/2014/chart" uri="{C3380CC4-5D6E-409C-BE32-E72D297353CC}">
                  <c16:uniqueId val="{00000018-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8-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8-CF26-4535-BEFD-865A0D513078}"/>
                </c:ext>
              </c:extLst>
            </c:dLbl>
            <c:dLbl>
              <c:idx val="29"/>
              <c:delete val="1"/>
              <c:extLst>
                <c:ext xmlns:c15="http://schemas.microsoft.com/office/drawing/2012/chart" uri="{CE6537A1-D6FC-4f65-9D91-7224C49458BB}"/>
                <c:ext xmlns:c16="http://schemas.microsoft.com/office/drawing/2014/chart" uri="{C3380CC4-5D6E-409C-BE32-E72D297353CC}">
                  <c16:uniqueId val="{00000018-DEFA-4A6E-9D34-E3E48F20A5BF}"/>
                </c:ext>
              </c:extLst>
            </c:dLbl>
            <c:dLbl>
              <c:idx val="30"/>
              <c:delete val="1"/>
              <c:extLst>
                <c:ext xmlns:c15="http://schemas.microsoft.com/office/drawing/2012/chart" uri="{CE6537A1-D6FC-4f65-9D91-7224C49458BB}"/>
                <c:ext xmlns:c16="http://schemas.microsoft.com/office/drawing/2014/chart" uri="{C3380CC4-5D6E-409C-BE32-E72D297353CC}">
                  <c16:uniqueId val="{00000024-0A12-4AC4-A8CB-8BA5435613AE}"/>
                </c:ext>
              </c:extLst>
            </c:dLbl>
            <c:dLbl>
              <c:idx val="31"/>
              <c:delete val="1"/>
              <c:extLst>
                <c:ext xmlns:c15="http://schemas.microsoft.com/office/drawing/2012/chart" uri="{CE6537A1-D6FC-4f65-9D91-7224C49458BB}"/>
                <c:ext xmlns:c16="http://schemas.microsoft.com/office/drawing/2014/chart" uri="{C3380CC4-5D6E-409C-BE32-E72D297353CC}">
                  <c16:uniqueId val="{00000026-5906-4915-BB3A-FB757AEA3E4E}"/>
                </c:ext>
              </c:extLst>
            </c:dLbl>
            <c:dLbl>
              <c:idx val="32"/>
              <c:layout>
                <c:manualLayout>
                  <c:x val="-3.8123167155425366E-2"/>
                  <c:y val="-2.42424242424242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CF4E-4A50-9E4E-AD9523B7930F}"/>
                </c:ext>
              </c:extLst>
            </c:dLbl>
            <c:spPr>
              <a:noFill/>
              <a:ln>
                <a:noFill/>
              </a:ln>
              <a:effectLst/>
            </c:spPr>
            <c:txPr>
              <a:bodyPr wrap="square" lIns="38100" tIns="19050" rIns="38100" bIns="19050" anchor="ctr">
                <a:spAutoFit/>
              </a:bodyPr>
              <a:lstStyle/>
              <a:p>
                <a:pPr>
                  <a:defRPr sz="12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'3.1'!$A$14:$B$66</c15:sqref>
                  </c15:fullRef>
                </c:ext>
              </c:extLst>
              <c:f>'3.1'!$A$34:$B$66</c:f>
              <c:multiLvlStrCache>
                <c:ptCount val="33"/>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lvl>
                <c:lvl>
                  <c:pt idx="0">
                    <c:v>2018</c:v>
                  </c:pt>
                  <c:pt idx="4">
                    <c:v>2019</c:v>
                  </c:pt>
                  <c:pt idx="8">
                    <c:v>2020</c:v>
                  </c:pt>
                  <c:pt idx="12">
                    <c:v>2021</c:v>
                  </c:pt>
                  <c:pt idx="16">
                    <c:v>2022</c:v>
                  </c:pt>
                  <c:pt idx="20">
                    <c:v>2023</c:v>
                  </c:pt>
                  <c:pt idx="24">
                    <c:v>2024</c:v>
                  </c:pt>
                  <c:pt idx="28">
                    <c:v>2025</c:v>
                  </c:pt>
                  <c:pt idx="32">
                    <c:v>2026</c:v>
                  </c:pt>
                </c:lvl>
              </c:multiLvlStrCache>
            </c:multiLvlStrRef>
          </c:cat>
          <c:val>
            <c:numRef>
              <c:extLst>
                <c:ext xmlns:c15="http://schemas.microsoft.com/office/drawing/2012/chart" uri="{02D57815-91ED-43cb-92C2-25804820EDAC}">
                  <c15:fullRef>
                    <c15:sqref>'3.1'!$C$14:$C$66</c15:sqref>
                  </c15:fullRef>
                </c:ext>
              </c:extLst>
              <c:f>'3.1'!$C$34:$C$66</c:f>
              <c:numCache>
                <c:formatCode>#,##0.00;[Red]#,##0.00</c:formatCode>
                <c:ptCount val="33"/>
                <c:pt idx="0">
                  <c:v>1586.0700000000002</c:v>
                </c:pt>
                <c:pt idx="1">
                  <c:v>1610.06</c:v>
                </c:pt>
                <c:pt idx="2">
                  <c:v>1622.33</c:v>
                </c:pt>
                <c:pt idx="3">
                  <c:v>1625.76</c:v>
                </c:pt>
                <c:pt idx="4">
                  <c:v>1665.21</c:v>
                </c:pt>
                <c:pt idx="5">
                  <c:v>1709.47</c:v>
                </c:pt>
                <c:pt idx="6">
                  <c:v>1718.8600000000001</c:v>
                </c:pt>
                <c:pt idx="7">
                  <c:v>1762.4099999999999</c:v>
                </c:pt>
                <c:pt idx="8">
                  <c:v>1768.3899999999999</c:v>
                </c:pt>
                <c:pt idx="9">
                  <c:v>1820.59</c:v>
                </c:pt>
                <c:pt idx="10">
                  <c:v>1852.8600000000001</c:v>
                </c:pt>
                <c:pt idx="11">
                  <c:v>1954.3999999999999</c:v>
                </c:pt>
                <c:pt idx="12">
                  <c:v>1946.1000000000001</c:v>
                </c:pt>
                <c:pt idx="13">
                  <c:v>2009</c:v>
                </c:pt>
                <c:pt idx="14">
                  <c:v>1989.25</c:v>
                </c:pt>
                <c:pt idx="15">
                  <c:v>1975.91</c:v>
                </c:pt>
                <c:pt idx="16">
                  <c:v>1926.85</c:v>
                </c:pt>
                <c:pt idx="17">
                  <c:v>1864.4349999999999</c:v>
                </c:pt>
                <c:pt idx="18">
                  <c:v>1836.8100000000002</c:v>
                </c:pt>
                <c:pt idx="19">
                  <c:v>1882.31</c:v>
                </c:pt>
                <c:pt idx="20">
                  <c:v>1939.4800000000002</c:v>
                </c:pt>
                <c:pt idx="21">
                  <c:v>1923.8880000000001</c:v>
                </c:pt>
                <c:pt idx="22">
                  <c:v>1926.8020000000001</c:v>
                </c:pt>
                <c:pt idx="23">
                  <c:v>2020.29</c:v>
                </c:pt>
                <c:pt idx="24">
                  <c:v>2044.69</c:v>
                </c:pt>
                <c:pt idx="25">
                  <c:v>2027.45</c:v>
                </c:pt>
                <c:pt idx="26">
                  <c:v>2059.54</c:v>
                </c:pt>
                <c:pt idx="27">
                  <c:v>2131.14</c:v>
                </c:pt>
                <c:pt idx="28">
                  <c:v>1998.6130000000003</c:v>
                </c:pt>
                <c:pt idx="29">
                  <c:v>2089.5699999999997</c:v>
                </c:pt>
                <c:pt idx="30">
                  <c:v>2159.3450000000003</c:v>
                </c:pt>
                <c:pt idx="31">
                  <c:v>2177.7510000000002</c:v>
                </c:pt>
                <c:pt idx="32">
                  <c:v>2281.2470000000003</c:v>
                </c:pt>
              </c:numCache>
            </c:numRef>
          </c:val>
          <c:smooth val="0"/>
          <c:extLst>
            <c:ext xmlns:c15="http://schemas.microsoft.com/office/drawing/2012/chart" uri="{02D57815-91ED-43cb-92C2-25804820EDAC}">
              <c15:categoryFilterExceptions>
                <c15:categoryFilterException>
                  <c15:sqref>'3.1'!$C$22</c15:sqref>
                  <c15:dLbl>
                    <c:idx val="-1"/>
                    <c:delete val="1"/>
                    <c:extLst>
                      <c:ext uri="{CE6537A1-D6FC-4f65-9D91-7224C49458BB}"/>
                      <c:ext xmlns:c16="http://schemas.microsoft.com/office/drawing/2014/chart" uri="{C3380CC4-5D6E-409C-BE32-E72D297353CC}">
                        <c16:uniqueId val="{00000018-6B61-4677-AA26-EA7E63307C10}"/>
                      </c:ext>
                    </c:extLst>
                  </c15:dLbl>
                </c15:categoryFilterException>
                <c15:categoryFilterException>
                  <c15:sqref>'3.1'!$C$23</c15:sqref>
                  <c15:dLbl>
                    <c:idx val="-1"/>
                    <c:delete val="1"/>
                    <c:extLst>
                      <c:ext uri="{CE6537A1-D6FC-4f65-9D91-7224C49458BB}"/>
                      <c:ext xmlns:c16="http://schemas.microsoft.com/office/drawing/2014/chart" uri="{C3380CC4-5D6E-409C-BE32-E72D297353CC}">
                        <c16:uniqueId val="{00000019-6B61-4677-AA26-EA7E63307C10}"/>
                      </c:ext>
                    </c:extLst>
                  </c15:dLbl>
                </c15:categoryFilterException>
                <c15:categoryFilterException>
                  <c15:sqref>'3.1'!$C$24</c15:sqref>
                  <c15:dLbl>
                    <c:idx val="-1"/>
                    <c:delete val="1"/>
                    <c:extLst>
                      <c:ext uri="{CE6537A1-D6FC-4f65-9D91-7224C49458BB}"/>
                      <c:ext xmlns:c16="http://schemas.microsoft.com/office/drawing/2014/chart" uri="{C3380CC4-5D6E-409C-BE32-E72D297353CC}">
                        <c16:uniqueId val="{0000001A-6B61-4677-AA26-EA7E63307C10}"/>
                      </c:ext>
                    </c:extLst>
                  </c15:dLbl>
                </c15:categoryFilterException>
                <c15:categoryFilterException>
                  <c15:sqref>'3.1'!$C$25</c15:sqref>
                  <c15:dLbl>
                    <c:idx val="-1"/>
                    <c:delete val="1"/>
                    <c:extLst>
                      <c:ext uri="{CE6537A1-D6FC-4f65-9D91-7224C49458BB}"/>
                      <c:ext xmlns:c16="http://schemas.microsoft.com/office/drawing/2014/chart" uri="{C3380CC4-5D6E-409C-BE32-E72D297353CC}">
                        <c16:uniqueId val="{0000001B-6B61-4677-AA26-EA7E63307C10}"/>
                      </c:ext>
                    </c:extLst>
                  </c15:dLbl>
                </c15:categoryFilterException>
                <c15:categoryFilterException>
                  <c15:sqref>'3.1'!$C$26</c15:sqref>
                  <c15:dLbl>
                    <c:idx val="-1"/>
                    <c:delete val="1"/>
                    <c:extLst>
                      <c:ext uri="{CE6537A1-D6FC-4f65-9D91-7224C49458BB}"/>
                      <c:ext xmlns:c16="http://schemas.microsoft.com/office/drawing/2014/chart" uri="{C3380CC4-5D6E-409C-BE32-E72D297353CC}">
                        <c16:uniqueId val="{0000001C-6B61-4677-AA26-EA7E63307C10}"/>
                      </c:ext>
                    </c:extLst>
                  </c15:dLbl>
                </c15:categoryFilterException>
                <c15:categoryFilterException>
                  <c15:sqref>'3.1'!$C$27</c15:sqref>
                  <c15:dLbl>
                    <c:idx val="-1"/>
                    <c:delete val="1"/>
                    <c:extLst>
                      <c:ext uri="{CE6537A1-D6FC-4f65-9D91-7224C49458BB}"/>
                      <c:ext xmlns:c16="http://schemas.microsoft.com/office/drawing/2014/chart" uri="{C3380CC4-5D6E-409C-BE32-E72D297353CC}">
                        <c16:uniqueId val="{0000001D-6B61-4677-AA26-EA7E63307C10}"/>
                      </c:ext>
                    </c:extLst>
                  </c15:dLbl>
                </c15:categoryFilterException>
                <c15:categoryFilterException>
                  <c15:sqref>'3.1'!$C$28</c15:sqref>
                  <c15:dLbl>
                    <c:idx val="-1"/>
                    <c:delete val="1"/>
                    <c:extLst>
                      <c:ext uri="{CE6537A1-D6FC-4f65-9D91-7224C49458BB}"/>
                      <c:ext xmlns:c16="http://schemas.microsoft.com/office/drawing/2014/chart" uri="{C3380CC4-5D6E-409C-BE32-E72D297353CC}">
                        <c16:uniqueId val="{0000001E-6B61-4677-AA26-EA7E63307C10}"/>
                      </c:ext>
                    </c:extLst>
                  </c15:dLbl>
                </c15:categoryFilterException>
                <c15:categoryFilterException>
                  <c15:sqref>'3.1'!$C$29</c15:sqref>
                  <c15:dLbl>
                    <c:idx val="-1"/>
                    <c:delete val="1"/>
                    <c:extLst>
                      <c:ext uri="{CE6537A1-D6FC-4f65-9D91-7224C49458BB}"/>
                      <c:ext xmlns:c16="http://schemas.microsoft.com/office/drawing/2014/chart" uri="{C3380CC4-5D6E-409C-BE32-E72D297353CC}">
                        <c16:uniqueId val="{0000001F-6B61-4677-AA26-EA7E63307C10}"/>
                      </c:ext>
                    </c:extLst>
                  </c15:dLbl>
                </c15:categoryFilterException>
                <c15:categoryFilterException>
                  <c15:sqref>'3.1'!$C$30</c15:sqref>
                  <c15:dLbl>
                    <c:idx val="-1"/>
                    <c:delete val="1"/>
                    <c:extLst>
                      <c:ext uri="{CE6537A1-D6FC-4f65-9D91-7224C49458BB}"/>
                      <c:ext xmlns:c16="http://schemas.microsoft.com/office/drawing/2014/chart" uri="{C3380CC4-5D6E-409C-BE32-E72D297353CC}">
                        <c16:uniqueId val="{00000020-6B61-4677-AA26-EA7E63307C10}"/>
                      </c:ext>
                    </c:extLst>
                  </c15:dLbl>
                </c15:categoryFilterException>
                <c15:categoryFilterException>
                  <c15:sqref>'3.1'!$C$31</c15:sqref>
                  <c15:dLbl>
                    <c:idx val="-1"/>
                    <c:delete val="1"/>
                    <c:extLst>
                      <c:ext uri="{CE6537A1-D6FC-4f65-9D91-7224C49458BB}"/>
                      <c:ext xmlns:c16="http://schemas.microsoft.com/office/drawing/2014/chart" uri="{C3380CC4-5D6E-409C-BE32-E72D297353CC}">
                        <c16:uniqueId val="{00000021-6B61-4677-AA26-EA7E63307C10}"/>
                      </c:ext>
                    </c:extLst>
                  </c15:dLbl>
                </c15:categoryFilterException>
                <c15:categoryFilterException>
                  <c15:sqref>'3.1'!$C$32</c15:sqref>
                  <c15:dLbl>
                    <c:idx val="-1"/>
                    <c:delete val="1"/>
                    <c:extLst>
                      <c:ext uri="{CE6537A1-D6FC-4f65-9D91-7224C49458BB}"/>
                      <c:ext xmlns:c16="http://schemas.microsoft.com/office/drawing/2014/chart" uri="{C3380CC4-5D6E-409C-BE32-E72D297353CC}">
                        <c16:uniqueId val="{00000022-6B61-4677-AA26-EA7E63307C10}"/>
                      </c:ext>
                    </c:extLst>
                  </c15:dLbl>
                </c15:categoryFilterException>
                <c15:categoryFilterException>
                  <c15:sqref>'3.1'!$C$33</c15:sqref>
                  <c15:dLbl>
                    <c:idx val="-1"/>
                    <c:delete val="1"/>
                    <c:extLst>
                      <c:ext uri="{CE6537A1-D6FC-4f65-9D91-7224C49458BB}"/>
                      <c:ext xmlns:c16="http://schemas.microsoft.com/office/drawing/2014/chart" uri="{C3380CC4-5D6E-409C-BE32-E72D297353CC}">
                        <c16:uniqueId val="{00000023-6B61-4677-AA26-EA7E63307C10}"/>
                      </c:ext>
                    </c:extLst>
                  </c15:dLbl>
                </c15:categoryFilterException>
              </c15:categoryFilterExceptions>
            </c:ext>
            <c:ext xmlns:c16="http://schemas.microsoft.com/office/drawing/2014/chart" uri="{C3380CC4-5D6E-409C-BE32-E72D297353CC}">
              <c16:uniqueId val="{00000005-59FB-482F-9B56-3BC5660C9ACB}"/>
            </c:ext>
          </c:extLst>
        </c:ser>
        <c:dLbls>
          <c:showLegendKey val="0"/>
          <c:showVal val="1"/>
          <c:showCatName val="0"/>
          <c:showSerName val="0"/>
          <c:showPercent val="0"/>
          <c:showBubbleSize val="0"/>
        </c:dLbls>
        <c:marker val="1"/>
        <c:smooth val="0"/>
        <c:axId val="486515560"/>
        <c:axId val="486515952"/>
      </c:lineChart>
      <c:catAx>
        <c:axId val="486515560"/>
        <c:scaling>
          <c:orientation val="minMax"/>
        </c:scaling>
        <c:delete val="0"/>
        <c:axPos val="b"/>
        <c:numFmt formatCode="General" sourceLinked="0"/>
        <c:majorTickMark val="none"/>
        <c:minorTickMark val="none"/>
        <c:tickLblPos val="nextTo"/>
        <c:txPr>
          <a:bodyPr rot="-5400000" vert="horz"/>
          <a:lstStyle/>
          <a:p>
            <a:pPr>
              <a:defRPr sz="1100">
                <a:latin typeface="Geomanist" panose="02000503000000020004" pitchFamily="50" charset="0"/>
              </a:defRPr>
            </a:pPr>
            <a:endParaRPr lang="en-US"/>
          </a:p>
        </c:txPr>
        <c:crossAx val="486515952"/>
        <c:crosses val="autoZero"/>
        <c:auto val="1"/>
        <c:lblAlgn val="ctr"/>
        <c:lblOffset val="100"/>
        <c:noMultiLvlLbl val="0"/>
      </c:catAx>
      <c:valAx>
        <c:axId val="486515952"/>
        <c:scaling>
          <c:orientation val="minMax"/>
        </c:scaling>
        <c:delete val="0"/>
        <c:axPos val="l"/>
        <c:majorGridlines>
          <c:spPr>
            <a:ln>
              <a:solidFill>
                <a:schemeClr val="bg1">
                  <a:lumMod val="85000"/>
                </a:schemeClr>
              </a:solidFill>
              <a:prstDash val="solid"/>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1.9549957281732745E-3"/>
              <c:y val="0.51272663644317185"/>
            </c:manualLayout>
          </c:layout>
          <c:overlay val="0"/>
        </c:title>
        <c:numFmt formatCode="#,##0.00;[Red]#,##0.00" sourceLinked="1"/>
        <c:majorTickMark val="none"/>
        <c:minorTickMark val="none"/>
        <c:tickLblPos val="nextTo"/>
        <c:txPr>
          <a:bodyPr/>
          <a:lstStyle/>
          <a:p>
            <a:pPr>
              <a:defRPr sz="1100" b="0">
                <a:latin typeface="Geomanist" panose="02000503000000020004" pitchFamily="50" charset="0"/>
              </a:defRPr>
            </a:pPr>
            <a:endParaRPr lang="en-US"/>
          </a:p>
        </c:txPr>
        <c:crossAx val="486515560"/>
        <c:crosses val="autoZero"/>
        <c:crossBetween val="between"/>
      </c:valAx>
      <c:spPr>
        <a:ln w="0">
          <a:solidFill>
            <a:schemeClr val="tx1">
              <a:lumMod val="65000"/>
              <a:lumOff val="35000"/>
            </a:schemeClr>
          </a:solidFill>
        </a:ln>
      </c:spPr>
    </c:plotArea>
    <c:legend>
      <c:legendPos val="r"/>
      <c:layout>
        <c:manualLayout>
          <c:xMode val="edge"/>
          <c:yMode val="edge"/>
          <c:x val="0.25965155748493313"/>
          <c:y val="0.9299985683607731"/>
          <c:w val="0.51816653638341592"/>
          <c:h val="5.3104809316119314E-2"/>
        </c:manualLayout>
      </c:layout>
      <c:overlay val="0"/>
      <c:txPr>
        <a:bodyPr/>
        <a:lstStyle/>
        <a:p>
          <a:pPr>
            <a:defRPr sz="1400" b="1">
              <a:latin typeface="Geomanist" panose="02000503000000020004" pitchFamily="50" charset="0"/>
            </a:defRPr>
          </a:pPr>
          <a:endParaRPr lang="en-US"/>
        </a:p>
      </c:txPr>
    </c:legend>
    <c:plotVisOnly val="1"/>
    <c:dispBlanksAs val="gap"/>
    <c:showDLblsOverMax val="0"/>
  </c:chart>
  <c:txPr>
    <a:bodyPr/>
    <a:lstStyle/>
    <a:p>
      <a:pPr>
        <a:defRPr sz="1100" b="1"/>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solidFill>
                  <a:srgbClr val="006E59"/>
                </a:solidFill>
                <a:latin typeface="Heuristica" panose="02020603050705020204" pitchFamily="18" charset="0"/>
              </a:defRPr>
            </a:pPr>
            <a:r>
              <a:rPr lang="en-US" sz="2000">
                <a:solidFill>
                  <a:srgbClr val="006E59"/>
                </a:solidFill>
                <a:latin typeface="Heuristica" panose="02020603050705020204" pitchFamily="18" charset="0"/>
              </a:rPr>
              <a:t>Chart 3.2: </a:t>
            </a:r>
            <a:r>
              <a:rPr lang="en-US" sz="2000">
                <a:solidFill>
                  <a:srgbClr val="D4C029"/>
                </a:solidFill>
                <a:latin typeface="Heuristica" panose="02020603050705020204" pitchFamily="18" charset="0"/>
              </a:rPr>
              <a:t>Insurance / Takaful: Gross Premiums</a:t>
            </a:r>
          </a:p>
        </c:rich>
      </c:tx>
      <c:layout>
        <c:manualLayout>
          <c:xMode val="edge"/>
          <c:yMode val="edge"/>
          <c:x val="0.24038715835007424"/>
          <c:y val="1.3339165937591133E-2"/>
        </c:manualLayout>
      </c:layout>
      <c:overlay val="0"/>
    </c:title>
    <c:autoTitleDeleted val="0"/>
    <c:plotArea>
      <c:layout>
        <c:manualLayout>
          <c:layoutTarget val="inner"/>
          <c:xMode val="edge"/>
          <c:yMode val="edge"/>
          <c:x val="8.8771792089038723E-2"/>
          <c:y val="6.5710331663087568E-2"/>
          <c:w val="0.8941135382270764"/>
          <c:h val="0.77551419708900038"/>
        </c:manualLayout>
      </c:layout>
      <c:barChart>
        <c:barDir val="col"/>
        <c:grouping val="stacked"/>
        <c:varyColors val="0"/>
        <c:ser>
          <c:idx val="0"/>
          <c:order val="0"/>
          <c:tx>
            <c:strRef>
              <c:f>'3.2'!$D$4:$F$4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0-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11-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12-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13-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14-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15-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16-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01-7577-49FF-91E9-C053FE264683}"/>
                </c:ext>
              </c:extLst>
            </c:dLbl>
            <c:dLbl>
              <c:idx val="8"/>
              <c:delete val="1"/>
              <c:extLst>
                <c:ext xmlns:c15="http://schemas.microsoft.com/office/drawing/2012/chart" uri="{CE6537A1-D6FC-4f65-9D91-7224C49458BB}"/>
                <c:ext xmlns:c16="http://schemas.microsoft.com/office/drawing/2014/chart" uri="{C3380CC4-5D6E-409C-BE32-E72D297353CC}">
                  <c16:uniqueId val="{00000001-3F2F-4E88-91B6-53758C5230E7}"/>
                </c:ext>
              </c:extLst>
            </c:dLbl>
            <c:dLbl>
              <c:idx val="9"/>
              <c:delete val="1"/>
              <c:extLst>
                <c:ext xmlns:c15="http://schemas.microsoft.com/office/drawing/2012/chart" uri="{CE6537A1-D6FC-4f65-9D91-7224C49458BB}"/>
                <c:ext xmlns:c16="http://schemas.microsoft.com/office/drawing/2014/chart" uri="{C3380CC4-5D6E-409C-BE32-E72D297353CC}">
                  <c16:uniqueId val="{0000000C-E555-499B-B653-737891DBE533}"/>
                </c:ext>
              </c:extLst>
            </c:dLbl>
            <c:dLbl>
              <c:idx val="10"/>
              <c:delete val="1"/>
              <c:extLst>
                <c:ext xmlns:c15="http://schemas.microsoft.com/office/drawing/2012/chart" uri="{CE6537A1-D6FC-4f65-9D91-7224C49458BB}"/>
                <c:ext xmlns:c16="http://schemas.microsoft.com/office/drawing/2014/chart" uri="{C3380CC4-5D6E-409C-BE32-E72D297353CC}">
                  <c16:uniqueId val="{0000000C-ED20-4DEE-A4C1-0DC1148ECAB2}"/>
                </c:ext>
              </c:extLst>
            </c:dLbl>
            <c:dLbl>
              <c:idx val="11"/>
              <c:delete val="1"/>
              <c:extLst>
                <c:ext xmlns:c15="http://schemas.microsoft.com/office/drawing/2012/chart" uri="{CE6537A1-D6FC-4f65-9D91-7224C49458BB}"/>
                <c:ext xmlns:c16="http://schemas.microsoft.com/office/drawing/2014/chart" uri="{C3380CC4-5D6E-409C-BE32-E72D297353CC}">
                  <c16:uniqueId val="{0000000E-8E72-4C9C-B69C-2DC18B4B34F6}"/>
                </c:ext>
              </c:extLst>
            </c:dLbl>
            <c:dLbl>
              <c:idx val="12"/>
              <c:delete val="1"/>
              <c:extLst>
                <c:ext xmlns:c15="http://schemas.microsoft.com/office/drawing/2012/chart" uri="{CE6537A1-D6FC-4f65-9D91-7224C49458BB}"/>
                <c:ext xmlns:c16="http://schemas.microsoft.com/office/drawing/2014/chart" uri="{C3380CC4-5D6E-409C-BE32-E72D297353CC}">
                  <c16:uniqueId val="{0000000C-5D84-46C1-87F3-47B5F9DEF76E}"/>
                </c:ext>
              </c:extLst>
            </c:dLbl>
            <c:dLbl>
              <c:idx val="13"/>
              <c:delete val="1"/>
              <c:extLst>
                <c:ext xmlns:c15="http://schemas.microsoft.com/office/drawing/2012/chart" uri="{CE6537A1-D6FC-4f65-9D91-7224C49458BB}"/>
                <c:ext xmlns:c16="http://schemas.microsoft.com/office/drawing/2014/chart" uri="{C3380CC4-5D6E-409C-BE32-E72D297353CC}">
                  <c16:uniqueId val="{0000000E-6E20-4FE6-AE42-D07E369FA63B}"/>
                </c:ext>
              </c:extLst>
            </c:dLbl>
            <c:dLbl>
              <c:idx val="14"/>
              <c:delete val="1"/>
              <c:extLst>
                <c:ext xmlns:c15="http://schemas.microsoft.com/office/drawing/2012/chart" uri="{CE6537A1-D6FC-4f65-9D91-7224C49458BB}"/>
                <c:ext xmlns:c16="http://schemas.microsoft.com/office/drawing/2014/chart" uri="{C3380CC4-5D6E-409C-BE32-E72D297353CC}">
                  <c16:uniqueId val="{00000010-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19-3105-4922-85FB-586949359639}"/>
                </c:ext>
              </c:extLst>
            </c:dLbl>
            <c:dLbl>
              <c:idx val="16"/>
              <c:delete val="1"/>
              <c:extLst>
                <c:ext xmlns:c15="http://schemas.microsoft.com/office/drawing/2012/chart" uri="{CE6537A1-D6FC-4f65-9D91-7224C49458BB}"/>
                <c:ext xmlns:c16="http://schemas.microsoft.com/office/drawing/2014/chart" uri="{C3380CC4-5D6E-409C-BE32-E72D297353CC}">
                  <c16:uniqueId val="{0000001A-67CE-425D-B458-EAB6AC708318}"/>
                </c:ext>
              </c:extLst>
            </c:dLbl>
            <c:dLbl>
              <c:idx val="17"/>
              <c:delete val="1"/>
              <c:extLst>
                <c:ext xmlns:c15="http://schemas.microsoft.com/office/drawing/2012/chart" uri="{CE6537A1-D6FC-4f65-9D91-7224C49458BB}"/>
                <c:ext xmlns:c16="http://schemas.microsoft.com/office/drawing/2014/chart" uri="{C3380CC4-5D6E-409C-BE32-E72D297353CC}">
                  <c16:uniqueId val="{0000001A-8180-482A-8303-1364262FD537}"/>
                </c:ext>
              </c:extLst>
            </c:dLbl>
            <c:dLbl>
              <c:idx val="18"/>
              <c:delete val="1"/>
              <c:extLst>
                <c:ext xmlns:c15="http://schemas.microsoft.com/office/drawing/2012/chart" uri="{CE6537A1-D6FC-4f65-9D91-7224C49458BB}"/>
                <c:ext xmlns:c16="http://schemas.microsoft.com/office/drawing/2014/chart" uri="{C3380CC4-5D6E-409C-BE32-E72D297353CC}">
                  <c16:uniqueId val="{00000019-BB1A-41C7-B39E-E3A6AC5A0F75}"/>
                </c:ext>
              </c:extLst>
            </c:dLbl>
            <c:dLbl>
              <c:idx val="19"/>
              <c:delete val="1"/>
              <c:extLst>
                <c:ext xmlns:c15="http://schemas.microsoft.com/office/drawing/2012/chart" uri="{CE6537A1-D6FC-4f65-9D91-7224C49458BB}"/>
                <c:ext xmlns:c16="http://schemas.microsoft.com/office/drawing/2014/chart" uri="{C3380CC4-5D6E-409C-BE32-E72D297353CC}">
                  <c16:uniqueId val="{00000025-4AE2-469D-B5E4-D0A16E259C9A}"/>
                </c:ext>
              </c:extLst>
            </c:dLbl>
            <c:dLbl>
              <c:idx val="20"/>
              <c:delete val="1"/>
              <c:extLst>
                <c:ext xmlns:c15="http://schemas.microsoft.com/office/drawing/2012/chart" uri="{CE6537A1-D6FC-4f65-9D91-7224C49458BB}"/>
                <c:ext xmlns:c16="http://schemas.microsoft.com/office/drawing/2014/chart" uri="{C3380CC4-5D6E-409C-BE32-E72D297353CC}">
                  <c16:uniqueId val="{00000024-4C51-4F49-9D78-D1C2F3C81353}"/>
                </c:ext>
              </c:extLst>
            </c:dLbl>
            <c:dLbl>
              <c:idx val="21"/>
              <c:delete val="1"/>
              <c:extLst>
                <c:ext xmlns:c15="http://schemas.microsoft.com/office/drawing/2012/chart" uri="{CE6537A1-D6FC-4f65-9D91-7224C49458BB}"/>
                <c:ext xmlns:c16="http://schemas.microsoft.com/office/drawing/2014/chart" uri="{C3380CC4-5D6E-409C-BE32-E72D297353CC}">
                  <c16:uniqueId val="{00000027-B560-4A4C-A000-CA22FB4A7863}"/>
                </c:ext>
              </c:extLst>
            </c:dLbl>
            <c:dLbl>
              <c:idx val="22"/>
              <c:delete val="1"/>
              <c:extLst>
                <c:ext xmlns:c15="http://schemas.microsoft.com/office/drawing/2012/chart" uri="{CE6537A1-D6FC-4f65-9D91-7224C49458BB}"/>
                <c:ext xmlns:c16="http://schemas.microsoft.com/office/drawing/2014/chart" uri="{C3380CC4-5D6E-409C-BE32-E72D297353CC}">
                  <c16:uniqueId val="{00000025-4049-4A0D-904A-5833E5C0A660}"/>
                </c:ext>
              </c:extLst>
            </c:dLbl>
            <c:dLbl>
              <c:idx val="23"/>
              <c:delete val="1"/>
              <c:extLst>
                <c:ext xmlns:c15="http://schemas.microsoft.com/office/drawing/2012/chart" uri="{CE6537A1-D6FC-4f65-9D91-7224C49458BB}"/>
                <c:ext xmlns:c16="http://schemas.microsoft.com/office/drawing/2014/chart" uri="{C3380CC4-5D6E-409C-BE32-E72D297353CC}">
                  <c16:uniqueId val="{00000024-89F2-4136-8642-01028EF2BF8C}"/>
                </c:ext>
              </c:extLst>
            </c:dLbl>
            <c:dLbl>
              <c:idx val="24"/>
              <c:delete val="1"/>
              <c:extLst>
                <c:ext xmlns:c15="http://schemas.microsoft.com/office/drawing/2012/chart" uri="{CE6537A1-D6FC-4f65-9D91-7224C49458BB}"/>
                <c:ext xmlns:c16="http://schemas.microsoft.com/office/drawing/2014/chart" uri="{C3380CC4-5D6E-409C-BE32-E72D297353CC}">
                  <c16:uniqueId val="{00000024-1026-4AE0-ABB8-C15E0882C662}"/>
                </c:ext>
              </c:extLst>
            </c:dLbl>
            <c:dLbl>
              <c:idx val="25"/>
              <c:delete val="1"/>
              <c:extLst>
                <c:ext xmlns:c15="http://schemas.microsoft.com/office/drawing/2012/chart" uri="{CE6537A1-D6FC-4f65-9D91-7224C49458BB}"/>
                <c:ext xmlns:c16="http://schemas.microsoft.com/office/drawing/2014/chart" uri="{C3380CC4-5D6E-409C-BE32-E72D297353CC}">
                  <c16:uniqueId val="{00000025-E1F3-4B2C-A3A3-C74F0089E604}"/>
                </c:ext>
              </c:extLst>
            </c:dLbl>
            <c:dLbl>
              <c:idx val="26"/>
              <c:delete val="1"/>
              <c:extLst>
                <c:ext xmlns:c15="http://schemas.microsoft.com/office/drawing/2012/chart" uri="{CE6537A1-D6FC-4f65-9D91-7224C49458BB}"/>
                <c:ext xmlns:c16="http://schemas.microsoft.com/office/drawing/2014/chart" uri="{C3380CC4-5D6E-409C-BE32-E72D297353CC}">
                  <c16:uniqueId val="{00000025-5D0F-4B56-B4E5-41D1B9878312}"/>
                </c:ext>
              </c:extLst>
            </c:dLbl>
            <c:dLbl>
              <c:idx val="27"/>
              <c:delete val="1"/>
              <c:extLst>
                <c:ext xmlns:c15="http://schemas.microsoft.com/office/drawing/2012/chart" uri="{CE6537A1-D6FC-4f65-9D91-7224C49458BB}"/>
                <c:ext xmlns:c16="http://schemas.microsoft.com/office/drawing/2014/chart" uri="{C3380CC4-5D6E-409C-BE32-E72D297353CC}">
                  <c16:uniqueId val="{00000027-B0C7-4F38-9FE6-6FDC11A6F83A}"/>
                </c:ext>
              </c:extLst>
            </c:dLbl>
            <c:dLbl>
              <c:idx val="28"/>
              <c:delete val="1"/>
              <c:extLst>
                <c:ext xmlns:c15="http://schemas.microsoft.com/office/drawing/2012/chart" uri="{CE6537A1-D6FC-4f65-9D91-7224C49458BB}"/>
                <c:ext xmlns:c16="http://schemas.microsoft.com/office/drawing/2014/chart" uri="{C3380CC4-5D6E-409C-BE32-E72D297353CC}">
                  <c16:uniqueId val="{00000024-FA3E-4098-A347-20D183CA9E22}"/>
                </c:ext>
              </c:extLst>
            </c:dLbl>
            <c:dLbl>
              <c:idx val="29"/>
              <c:delete val="1"/>
              <c:extLst>
                <c:ext xmlns:c15="http://schemas.microsoft.com/office/drawing/2012/chart" uri="{CE6537A1-D6FC-4f65-9D91-7224C49458BB}"/>
                <c:ext xmlns:c16="http://schemas.microsoft.com/office/drawing/2014/chart" uri="{C3380CC4-5D6E-409C-BE32-E72D297353CC}">
                  <c16:uniqueId val="{00000027-7973-4764-9EBA-411A435E0F63}"/>
                </c:ext>
              </c:extLst>
            </c:dLbl>
            <c:dLbl>
              <c:idx val="30"/>
              <c:delete val="1"/>
              <c:extLst>
                <c:ext xmlns:c15="http://schemas.microsoft.com/office/drawing/2012/chart" uri="{CE6537A1-D6FC-4f65-9D91-7224C49458BB}"/>
                <c:ext xmlns:c16="http://schemas.microsoft.com/office/drawing/2014/chart" uri="{C3380CC4-5D6E-409C-BE32-E72D297353CC}">
                  <c16:uniqueId val="{00000024-D0DA-4F9A-985A-D6921A8572B3}"/>
                </c:ext>
              </c:extLst>
            </c:dLbl>
            <c:dLbl>
              <c:idx val="31"/>
              <c:delete val="1"/>
              <c:extLst>
                <c:ext xmlns:c15="http://schemas.microsoft.com/office/drawing/2012/chart" uri="{CE6537A1-D6FC-4f65-9D91-7224C49458BB}"/>
                <c:ext xmlns:c16="http://schemas.microsoft.com/office/drawing/2014/chart" uri="{C3380CC4-5D6E-409C-BE32-E72D297353CC}">
                  <c16:uniqueId val="{00000025-D9C3-498A-B93B-8BB4BDBFD81E}"/>
                </c:ext>
              </c:extLst>
            </c:dLbl>
            <c:dLbl>
              <c:idx val="32"/>
              <c:delete val="1"/>
              <c:extLst>
                <c:ext xmlns:c15="http://schemas.microsoft.com/office/drawing/2012/chart" uri="{CE6537A1-D6FC-4f65-9D91-7224C49458BB}"/>
                <c:ext xmlns:c16="http://schemas.microsoft.com/office/drawing/2014/chart" uri="{C3380CC4-5D6E-409C-BE32-E72D297353CC}">
                  <c16:uniqueId val="{00000026-98EE-4131-A7D4-DEE3E4383CDC}"/>
                </c:ext>
              </c:extLst>
            </c:dLbl>
            <c:dLbl>
              <c:idx val="33"/>
              <c:delete val="1"/>
              <c:extLst>
                <c:ext xmlns:c15="http://schemas.microsoft.com/office/drawing/2012/chart" uri="{CE6537A1-D6FC-4f65-9D91-7224C49458BB}"/>
                <c:ext xmlns:c16="http://schemas.microsoft.com/office/drawing/2014/chart" uri="{C3380CC4-5D6E-409C-BE32-E72D297353CC}">
                  <c16:uniqueId val="{00000025-7247-44B3-957E-784559699436}"/>
                </c:ext>
              </c:extLst>
            </c:dLbl>
            <c:dLbl>
              <c:idx val="34"/>
              <c:delete val="1"/>
              <c:extLst>
                <c:ext xmlns:c15="http://schemas.microsoft.com/office/drawing/2012/chart" uri="{CE6537A1-D6FC-4f65-9D91-7224C49458BB}"/>
                <c:ext xmlns:c16="http://schemas.microsoft.com/office/drawing/2014/chart" uri="{C3380CC4-5D6E-409C-BE32-E72D297353CC}">
                  <c16:uniqueId val="{00000026-7AF0-402B-BB3B-0334D78A73D5}"/>
                </c:ext>
              </c:extLst>
            </c:dLbl>
            <c:dLbl>
              <c:idx val="35"/>
              <c:delete val="1"/>
              <c:extLst>
                <c:ext xmlns:c15="http://schemas.microsoft.com/office/drawing/2012/chart" uri="{CE6537A1-D6FC-4f65-9D91-7224C49458BB}"/>
                <c:ext xmlns:c16="http://schemas.microsoft.com/office/drawing/2014/chart" uri="{C3380CC4-5D6E-409C-BE32-E72D297353CC}">
                  <c16:uniqueId val="{00000027-7AF0-402B-BB3B-0334D78A73D5}"/>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'3.2'!$A$14:$B$66</c15:sqref>
                  </c15:fullRef>
                </c:ext>
              </c:extLst>
              <c:f>'3.2'!$A$30:$B$66</c:f>
              <c:multiLvlStrCache>
                <c:ptCount val="37"/>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lvl>
                <c:lvl>
                  <c:pt idx="0">
                    <c:v>2017</c:v>
                  </c:pt>
                  <c:pt idx="4">
                    <c:v>2018</c:v>
                  </c:pt>
                  <c:pt idx="8">
                    <c:v>2019</c:v>
                  </c:pt>
                  <c:pt idx="12">
                    <c:v>2020</c:v>
                  </c:pt>
                  <c:pt idx="16">
                    <c:v>2021</c:v>
                  </c:pt>
                  <c:pt idx="20">
                    <c:v>2022</c:v>
                  </c:pt>
                  <c:pt idx="24">
                    <c:v>2023</c:v>
                  </c:pt>
                  <c:pt idx="28">
                    <c:v>2024</c:v>
                  </c:pt>
                  <c:pt idx="32">
                    <c:v>2025</c:v>
                  </c:pt>
                  <c:pt idx="36">
                    <c:v>2026</c:v>
                  </c:pt>
                </c:lvl>
              </c:multiLvlStrCache>
            </c:multiLvlStrRef>
          </c:cat>
          <c:val>
            <c:numRef>
              <c:extLst>
                <c:ext xmlns:c15="http://schemas.microsoft.com/office/drawing/2012/chart" uri="{02D57815-91ED-43cb-92C2-25804820EDAC}">
                  <c15:fullRef>
                    <c15:sqref>'3.2'!$D$14:$D$66</c15:sqref>
                  </c15:fullRef>
                </c:ext>
              </c:extLst>
              <c:f>'3.2'!$D$30:$D$66</c:f>
              <c:numCache>
                <c:formatCode>#,##0.00</c:formatCode>
                <c:ptCount val="37"/>
                <c:pt idx="0">
                  <c:v>38.019999999999996</c:v>
                </c:pt>
                <c:pt idx="1">
                  <c:v>38.61</c:v>
                </c:pt>
                <c:pt idx="2">
                  <c:v>30.93</c:v>
                </c:pt>
                <c:pt idx="3">
                  <c:v>35.61</c:v>
                </c:pt>
                <c:pt idx="4">
                  <c:v>44.6</c:v>
                </c:pt>
                <c:pt idx="5">
                  <c:v>34.900000000000006</c:v>
                </c:pt>
                <c:pt idx="6">
                  <c:v>38.340000000000003</c:v>
                </c:pt>
                <c:pt idx="7">
                  <c:v>35.099999999999994</c:v>
                </c:pt>
                <c:pt idx="8">
                  <c:v>38.44</c:v>
                </c:pt>
                <c:pt idx="9">
                  <c:v>37.450000000000003</c:v>
                </c:pt>
                <c:pt idx="10">
                  <c:v>49.95</c:v>
                </c:pt>
                <c:pt idx="11">
                  <c:v>39.22</c:v>
                </c:pt>
                <c:pt idx="12">
                  <c:v>42.46</c:v>
                </c:pt>
                <c:pt idx="13">
                  <c:v>35.44</c:v>
                </c:pt>
                <c:pt idx="14">
                  <c:v>44.21</c:v>
                </c:pt>
                <c:pt idx="15">
                  <c:v>40.69</c:v>
                </c:pt>
                <c:pt idx="16">
                  <c:v>40.290000000000006</c:v>
                </c:pt>
                <c:pt idx="17">
                  <c:v>38.78</c:v>
                </c:pt>
                <c:pt idx="18">
                  <c:v>39.18</c:v>
                </c:pt>
                <c:pt idx="19">
                  <c:v>46.93</c:v>
                </c:pt>
                <c:pt idx="20">
                  <c:v>44.81</c:v>
                </c:pt>
                <c:pt idx="21">
                  <c:v>45.46</c:v>
                </c:pt>
                <c:pt idx="22">
                  <c:v>40.790000000000006</c:v>
                </c:pt>
                <c:pt idx="23">
                  <c:v>45.230000000000004</c:v>
                </c:pt>
                <c:pt idx="24">
                  <c:v>46.260000000000005</c:v>
                </c:pt>
                <c:pt idx="25">
                  <c:v>47.641000000000005</c:v>
                </c:pt>
                <c:pt idx="26">
                  <c:v>41.51</c:v>
                </c:pt>
                <c:pt idx="27">
                  <c:v>45.77</c:v>
                </c:pt>
                <c:pt idx="28">
                  <c:v>50.92</c:v>
                </c:pt>
                <c:pt idx="29">
                  <c:v>40.65</c:v>
                </c:pt>
                <c:pt idx="30">
                  <c:v>39.89</c:v>
                </c:pt>
                <c:pt idx="31">
                  <c:v>49.38000000000001</c:v>
                </c:pt>
                <c:pt idx="32">
                  <c:v>41.094000000000001</c:v>
                </c:pt>
                <c:pt idx="33">
                  <c:v>60.844999999999999</c:v>
                </c:pt>
                <c:pt idx="34">
                  <c:v>44.424999999999997</c:v>
                </c:pt>
                <c:pt idx="35">
                  <c:v>48.247</c:v>
                </c:pt>
                <c:pt idx="36">
                  <c:v>53.748000000000005</c:v>
                </c:pt>
              </c:numCache>
            </c:numRef>
          </c:val>
          <c:extLst>
            <c:ext xmlns:c15="http://schemas.microsoft.com/office/drawing/2012/chart" uri="{02D57815-91ED-43cb-92C2-25804820EDAC}">
              <c15:categoryFilterExceptions>
                <c15:categoryFilterException>
                  <c15:sqref>'3.2'!$D$18</c15:sqref>
                  <c15:dLbl>
                    <c:idx val="-1"/>
                    <c:delete val="1"/>
                    <c:extLst>
                      <c:ext uri="{CE6537A1-D6FC-4f65-9D91-7224C49458BB}"/>
                      <c:ext xmlns:c16="http://schemas.microsoft.com/office/drawing/2014/chart" uri="{C3380CC4-5D6E-409C-BE32-E72D297353CC}">
                        <c16:uniqueId val="{00000000-48C9-4163-867F-593AE2A94767}"/>
                      </c:ext>
                    </c:extLst>
                  </c15:dLbl>
                </c15:categoryFilterException>
                <c15:categoryFilterException>
                  <c15:sqref>'3.2'!$D$19</c15:sqref>
                  <c15:dLbl>
                    <c:idx val="-1"/>
                    <c:delete val="1"/>
                    <c:extLst>
                      <c:ext uri="{CE6537A1-D6FC-4f65-9D91-7224C49458BB}"/>
                      <c:ext xmlns:c16="http://schemas.microsoft.com/office/drawing/2014/chart" uri="{C3380CC4-5D6E-409C-BE32-E72D297353CC}">
                        <c16:uniqueId val="{00000001-48C9-4163-867F-593AE2A94767}"/>
                      </c:ext>
                    </c:extLst>
                  </c15:dLbl>
                </c15:categoryFilterException>
                <c15:categoryFilterException>
                  <c15:sqref>'3.2'!$D$20</c15:sqref>
                  <c15:dLbl>
                    <c:idx val="-1"/>
                    <c:delete val="1"/>
                    <c:extLst>
                      <c:ext uri="{CE6537A1-D6FC-4f65-9D91-7224C49458BB}"/>
                      <c:ext xmlns:c16="http://schemas.microsoft.com/office/drawing/2014/chart" uri="{C3380CC4-5D6E-409C-BE32-E72D297353CC}">
                        <c16:uniqueId val="{00000002-48C9-4163-867F-593AE2A94767}"/>
                      </c:ext>
                    </c:extLst>
                  </c15:dLbl>
                </c15:categoryFilterException>
                <c15:categoryFilterException>
                  <c15:sqref>'3.2'!$D$21</c15:sqref>
                  <c15:dLbl>
                    <c:idx val="-1"/>
                    <c:delete val="1"/>
                    <c:extLst>
                      <c:ext uri="{CE6537A1-D6FC-4f65-9D91-7224C49458BB}"/>
                      <c:ext xmlns:c16="http://schemas.microsoft.com/office/drawing/2014/chart" uri="{C3380CC4-5D6E-409C-BE32-E72D297353CC}">
                        <c16:uniqueId val="{00000003-48C9-4163-867F-593AE2A94767}"/>
                      </c:ext>
                    </c:extLst>
                  </c15:dLbl>
                </c15:categoryFilterException>
                <c15:categoryFilterException>
                  <c15:sqref>'3.2'!$D$22</c15:sqref>
                  <c15:dLbl>
                    <c:idx val="-1"/>
                    <c:delete val="1"/>
                    <c:extLst>
                      <c:ext uri="{CE6537A1-D6FC-4f65-9D91-7224C49458BB}"/>
                      <c:ext xmlns:c16="http://schemas.microsoft.com/office/drawing/2014/chart" uri="{C3380CC4-5D6E-409C-BE32-E72D297353CC}">
                        <c16:uniqueId val="{00000004-48C9-4163-867F-593AE2A94767}"/>
                      </c:ext>
                    </c:extLst>
                  </c15:dLbl>
                </c15:categoryFilterException>
                <c15:categoryFilterException>
                  <c15:sqref>'3.2'!$D$23</c15:sqref>
                  <c15:dLbl>
                    <c:idx val="-1"/>
                    <c:delete val="1"/>
                    <c:extLst>
                      <c:ext uri="{CE6537A1-D6FC-4f65-9D91-7224C49458BB}"/>
                      <c:ext xmlns:c16="http://schemas.microsoft.com/office/drawing/2014/chart" uri="{C3380CC4-5D6E-409C-BE32-E72D297353CC}">
                        <c16:uniqueId val="{00000005-48C9-4163-867F-593AE2A94767}"/>
                      </c:ext>
                    </c:extLst>
                  </c15:dLbl>
                </c15:categoryFilterException>
                <c15:categoryFilterException>
                  <c15:sqref>'3.2'!$D$24</c15:sqref>
                  <c15:dLbl>
                    <c:idx val="-1"/>
                    <c:delete val="1"/>
                    <c:extLst>
                      <c:ext uri="{CE6537A1-D6FC-4f65-9D91-7224C49458BB}"/>
                      <c:ext xmlns:c16="http://schemas.microsoft.com/office/drawing/2014/chart" uri="{C3380CC4-5D6E-409C-BE32-E72D297353CC}">
                        <c16:uniqueId val="{00000006-48C9-4163-867F-593AE2A94767}"/>
                      </c:ext>
                    </c:extLst>
                  </c15:dLbl>
                </c15:categoryFilterException>
                <c15:categoryFilterException>
                  <c15:sqref>'3.2'!$D$25</c15:sqref>
                  <c15:dLbl>
                    <c:idx val="-1"/>
                    <c:delete val="1"/>
                    <c:extLst>
                      <c:ext uri="{CE6537A1-D6FC-4f65-9D91-7224C49458BB}"/>
                      <c:ext xmlns:c16="http://schemas.microsoft.com/office/drawing/2014/chart" uri="{C3380CC4-5D6E-409C-BE32-E72D297353CC}">
                        <c16:uniqueId val="{00000007-48C9-4163-867F-593AE2A94767}"/>
                      </c:ext>
                    </c:extLst>
                  </c15:dLbl>
                </c15:categoryFilterException>
                <c15:categoryFilterException>
                  <c15:sqref>'3.2'!$D$26</c15:sqref>
                  <c15:dLbl>
                    <c:idx val="-1"/>
                    <c:delete val="1"/>
                    <c:extLst>
                      <c:ext uri="{CE6537A1-D6FC-4f65-9D91-7224C49458BB}"/>
                      <c:ext xmlns:c16="http://schemas.microsoft.com/office/drawing/2014/chart" uri="{C3380CC4-5D6E-409C-BE32-E72D297353CC}">
                        <c16:uniqueId val="{00000008-48C9-4163-867F-593AE2A94767}"/>
                      </c:ext>
                    </c:extLst>
                  </c15:dLbl>
                </c15:categoryFilterException>
                <c15:categoryFilterException>
                  <c15:sqref>'3.2'!$D$27</c15:sqref>
                  <c15:dLbl>
                    <c:idx val="-1"/>
                    <c:delete val="1"/>
                    <c:extLst>
                      <c:ext uri="{CE6537A1-D6FC-4f65-9D91-7224C49458BB}"/>
                      <c:ext xmlns:c16="http://schemas.microsoft.com/office/drawing/2014/chart" uri="{C3380CC4-5D6E-409C-BE32-E72D297353CC}">
                        <c16:uniqueId val="{00000009-48C9-4163-867F-593AE2A94767}"/>
                      </c:ext>
                    </c:extLst>
                  </c15:dLbl>
                </c15:categoryFilterException>
                <c15:categoryFilterException>
                  <c15:sqref>'3.2'!$D$28</c15:sqref>
                  <c15:dLbl>
                    <c:idx val="-1"/>
                    <c:delete val="1"/>
                    <c:extLst>
                      <c:ext uri="{CE6537A1-D6FC-4f65-9D91-7224C49458BB}"/>
                      <c:ext xmlns:c16="http://schemas.microsoft.com/office/drawing/2014/chart" uri="{C3380CC4-5D6E-409C-BE32-E72D297353CC}">
                        <c16:uniqueId val="{0000000A-48C9-4163-867F-593AE2A94767}"/>
                      </c:ext>
                    </c:extLst>
                  </c15:dLbl>
                </c15:categoryFilterException>
                <c15:categoryFilterException>
                  <c15:sqref>'3.2'!$D$29</c15:sqref>
                  <c15:dLbl>
                    <c:idx val="-1"/>
                    <c:delete val="1"/>
                    <c:extLst>
                      <c:ext uri="{CE6537A1-D6FC-4f65-9D91-7224C49458BB}"/>
                      <c:ext xmlns:c16="http://schemas.microsoft.com/office/drawing/2014/chart" uri="{C3380CC4-5D6E-409C-BE32-E72D297353CC}">
                        <c16:uniqueId val="{0000000B-48C9-4163-867F-593AE2A94767}"/>
                      </c:ext>
                    </c:extLst>
                  </c15:dLbl>
                </c15:categoryFilterException>
              </c15:categoryFilterExceptions>
            </c:ext>
            <c:ext xmlns:c16="http://schemas.microsoft.com/office/drawing/2014/chart" uri="{C3380CC4-5D6E-409C-BE32-E72D297353CC}">
              <c16:uniqueId val="{00000019-F095-4740-B401-3D1D9CBCDC20}"/>
            </c:ext>
          </c:extLst>
        </c:ser>
        <c:ser>
          <c:idx val="1"/>
          <c:order val="1"/>
          <c:tx>
            <c:strRef>
              <c:f>'3.2'!$G$4:$I$4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A-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2B-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2C-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2D-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2E-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2F-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30-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00-7577-49FF-91E9-C053FE264683}"/>
                </c:ext>
              </c:extLst>
            </c:dLbl>
            <c:dLbl>
              <c:idx val="8"/>
              <c:delete val="1"/>
              <c:extLst>
                <c:ext xmlns:c15="http://schemas.microsoft.com/office/drawing/2012/chart" uri="{CE6537A1-D6FC-4f65-9D91-7224C49458BB}"/>
                <c:ext xmlns:c16="http://schemas.microsoft.com/office/drawing/2014/chart" uri="{C3380CC4-5D6E-409C-BE32-E72D297353CC}">
                  <c16:uniqueId val="{00000000-3F2F-4E88-91B6-53758C5230E7}"/>
                </c:ext>
              </c:extLst>
            </c:dLbl>
            <c:dLbl>
              <c:idx val="9"/>
              <c:delete val="1"/>
              <c:extLst>
                <c:ext xmlns:c15="http://schemas.microsoft.com/office/drawing/2012/chart" uri="{CE6537A1-D6FC-4f65-9D91-7224C49458BB}"/>
                <c:ext xmlns:c16="http://schemas.microsoft.com/office/drawing/2014/chart" uri="{C3380CC4-5D6E-409C-BE32-E72D297353CC}">
                  <c16:uniqueId val="{0000000D-E555-499B-B653-737891DBE533}"/>
                </c:ext>
              </c:extLst>
            </c:dLbl>
            <c:dLbl>
              <c:idx val="10"/>
              <c:delete val="1"/>
              <c:extLst>
                <c:ext xmlns:c15="http://schemas.microsoft.com/office/drawing/2012/chart" uri="{CE6537A1-D6FC-4f65-9D91-7224C49458BB}"/>
                <c:ext xmlns:c16="http://schemas.microsoft.com/office/drawing/2014/chart" uri="{C3380CC4-5D6E-409C-BE32-E72D297353CC}">
                  <c16:uniqueId val="{0000000E-E555-499B-B653-737891DBE533}"/>
                </c:ext>
              </c:extLst>
            </c:dLbl>
            <c:dLbl>
              <c:idx val="11"/>
              <c:delete val="1"/>
              <c:extLst>
                <c:ext xmlns:c15="http://schemas.microsoft.com/office/drawing/2012/chart" uri="{CE6537A1-D6FC-4f65-9D91-7224C49458BB}"/>
                <c:ext xmlns:c16="http://schemas.microsoft.com/office/drawing/2014/chart" uri="{C3380CC4-5D6E-409C-BE32-E72D297353CC}">
                  <c16:uniqueId val="{0000000D-8E72-4C9C-B69C-2DC18B4B34F6}"/>
                </c:ext>
              </c:extLst>
            </c:dLbl>
            <c:dLbl>
              <c:idx val="12"/>
              <c:delete val="1"/>
              <c:extLst>
                <c:ext xmlns:c15="http://schemas.microsoft.com/office/drawing/2012/chart" uri="{CE6537A1-D6FC-4f65-9D91-7224C49458BB}"/>
                <c:ext xmlns:c16="http://schemas.microsoft.com/office/drawing/2014/chart" uri="{C3380CC4-5D6E-409C-BE32-E72D297353CC}">
                  <c16:uniqueId val="{0000000F-8E72-4C9C-B69C-2DC18B4B34F6}"/>
                </c:ext>
              </c:extLst>
            </c:dLbl>
            <c:dLbl>
              <c:idx val="13"/>
              <c:delete val="1"/>
              <c:extLst>
                <c:ext xmlns:c15="http://schemas.microsoft.com/office/drawing/2012/chart" uri="{CE6537A1-D6FC-4f65-9D91-7224C49458BB}"/>
                <c:ext xmlns:c16="http://schemas.microsoft.com/office/drawing/2014/chart" uri="{C3380CC4-5D6E-409C-BE32-E72D297353CC}">
                  <c16:uniqueId val="{0000000D-6E20-4FE6-AE42-D07E369FA63B}"/>
                </c:ext>
              </c:extLst>
            </c:dLbl>
            <c:dLbl>
              <c:idx val="14"/>
              <c:delete val="1"/>
              <c:extLst>
                <c:ext xmlns:c15="http://schemas.microsoft.com/office/drawing/2012/chart" uri="{CE6537A1-D6FC-4f65-9D91-7224C49458BB}"/>
                <c:ext xmlns:c16="http://schemas.microsoft.com/office/drawing/2014/chart" uri="{C3380CC4-5D6E-409C-BE32-E72D297353CC}">
                  <c16:uniqueId val="{0000000F-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18-3105-4922-85FB-586949359639}"/>
                </c:ext>
              </c:extLst>
            </c:dLbl>
            <c:dLbl>
              <c:idx val="16"/>
              <c:delete val="1"/>
              <c:extLst>
                <c:ext xmlns:c15="http://schemas.microsoft.com/office/drawing/2012/chart" uri="{CE6537A1-D6FC-4f65-9D91-7224C49458BB}"/>
                <c:ext xmlns:c16="http://schemas.microsoft.com/office/drawing/2014/chart" uri="{C3380CC4-5D6E-409C-BE32-E72D297353CC}">
                  <c16:uniqueId val="{00000019-67CE-425D-B458-EAB6AC708318}"/>
                </c:ext>
              </c:extLst>
            </c:dLbl>
            <c:dLbl>
              <c:idx val="17"/>
              <c:delete val="1"/>
              <c:extLst>
                <c:ext xmlns:c15="http://schemas.microsoft.com/office/drawing/2012/chart" uri="{CE6537A1-D6FC-4f65-9D91-7224C49458BB}"/>
                <c:ext xmlns:c16="http://schemas.microsoft.com/office/drawing/2014/chart" uri="{C3380CC4-5D6E-409C-BE32-E72D297353CC}">
                  <c16:uniqueId val="{00000019-8180-482A-8303-1364262FD537}"/>
                </c:ext>
              </c:extLst>
            </c:dLbl>
            <c:dLbl>
              <c:idx val="18"/>
              <c:delete val="1"/>
              <c:extLst>
                <c:ext xmlns:c15="http://schemas.microsoft.com/office/drawing/2012/chart" uri="{CE6537A1-D6FC-4f65-9D91-7224C49458BB}"/>
                <c:ext xmlns:c16="http://schemas.microsoft.com/office/drawing/2014/chart" uri="{C3380CC4-5D6E-409C-BE32-E72D297353CC}">
                  <c16:uniqueId val="{00000018-BB1A-41C7-B39E-E3A6AC5A0F75}"/>
                </c:ext>
              </c:extLst>
            </c:dLbl>
            <c:dLbl>
              <c:idx val="19"/>
              <c:delete val="1"/>
              <c:extLst>
                <c:ext xmlns:c15="http://schemas.microsoft.com/office/drawing/2012/chart" uri="{CE6537A1-D6FC-4f65-9D91-7224C49458BB}"/>
                <c:ext xmlns:c16="http://schemas.microsoft.com/office/drawing/2014/chart" uri="{C3380CC4-5D6E-409C-BE32-E72D297353CC}">
                  <c16:uniqueId val="{00000024-4AE2-469D-B5E4-D0A16E259C9A}"/>
                </c:ext>
              </c:extLst>
            </c:dLbl>
            <c:dLbl>
              <c:idx val="20"/>
              <c:delete val="1"/>
              <c:extLst>
                <c:ext xmlns:c15="http://schemas.microsoft.com/office/drawing/2012/chart" uri="{CE6537A1-D6FC-4f65-9D91-7224C49458BB}"/>
                <c:ext xmlns:c16="http://schemas.microsoft.com/office/drawing/2014/chart" uri="{C3380CC4-5D6E-409C-BE32-E72D297353CC}">
                  <c16:uniqueId val="{00000025-4C51-4F49-9D78-D1C2F3C81353}"/>
                </c:ext>
              </c:extLst>
            </c:dLbl>
            <c:dLbl>
              <c:idx val="21"/>
              <c:delete val="1"/>
              <c:extLst>
                <c:ext xmlns:c15="http://schemas.microsoft.com/office/drawing/2012/chart" uri="{CE6537A1-D6FC-4f65-9D91-7224C49458BB}"/>
                <c:ext xmlns:c16="http://schemas.microsoft.com/office/drawing/2014/chart" uri="{C3380CC4-5D6E-409C-BE32-E72D297353CC}">
                  <c16:uniqueId val="{00000025-B560-4A4C-A000-CA22FB4A7863}"/>
                </c:ext>
              </c:extLst>
            </c:dLbl>
            <c:dLbl>
              <c:idx val="22"/>
              <c:delete val="1"/>
              <c:extLst>
                <c:ext xmlns:c15="http://schemas.microsoft.com/office/drawing/2012/chart" uri="{CE6537A1-D6FC-4f65-9D91-7224C49458BB}"/>
                <c:ext xmlns:c16="http://schemas.microsoft.com/office/drawing/2014/chart" uri="{C3380CC4-5D6E-409C-BE32-E72D297353CC}">
                  <c16:uniqueId val="{00000026-B560-4A4C-A000-CA22FB4A7863}"/>
                </c:ext>
              </c:extLst>
            </c:dLbl>
            <c:dLbl>
              <c:idx val="23"/>
              <c:delete val="1"/>
              <c:extLst>
                <c:ext xmlns:c15="http://schemas.microsoft.com/office/drawing/2012/chart" uri="{CE6537A1-D6FC-4f65-9D91-7224C49458BB}"/>
                <c:ext xmlns:c16="http://schemas.microsoft.com/office/drawing/2014/chart" uri="{C3380CC4-5D6E-409C-BE32-E72D297353CC}">
                  <c16:uniqueId val="{00000025-89F2-4136-8642-01028EF2BF8C}"/>
                </c:ext>
              </c:extLst>
            </c:dLbl>
            <c:dLbl>
              <c:idx val="24"/>
              <c:delete val="1"/>
              <c:extLst>
                <c:ext xmlns:c15="http://schemas.microsoft.com/office/drawing/2012/chart" uri="{CE6537A1-D6FC-4f65-9D91-7224C49458BB}"/>
                <c:ext xmlns:c16="http://schemas.microsoft.com/office/drawing/2014/chart" uri="{C3380CC4-5D6E-409C-BE32-E72D297353CC}">
                  <c16:uniqueId val="{00000025-1026-4AE0-ABB8-C15E0882C662}"/>
                </c:ext>
              </c:extLst>
            </c:dLbl>
            <c:dLbl>
              <c:idx val="25"/>
              <c:delete val="1"/>
              <c:extLst>
                <c:ext xmlns:c15="http://schemas.microsoft.com/office/drawing/2012/chart" uri="{CE6537A1-D6FC-4f65-9D91-7224C49458BB}"/>
                <c:ext xmlns:c16="http://schemas.microsoft.com/office/drawing/2014/chart" uri="{C3380CC4-5D6E-409C-BE32-E72D297353CC}">
                  <c16:uniqueId val="{00000024-E1F3-4B2C-A3A3-C74F0089E604}"/>
                </c:ext>
              </c:extLst>
            </c:dLbl>
            <c:dLbl>
              <c:idx val="26"/>
              <c:delete val="1"/>
              <c:extLst>
                <c:ext xmlns:c15="http://schemas.microsoft.com/office/drawing/2012/chart" uri="{CE6537A1-D6FC-4f65-9D91-7224C49458BB}"/>
                <c:ext xmlns:c16="http://schemas.microsoft.com/office/drawing/2014/chart" uri="{C3380CC4-5D6E-409C-BE32-E72D297353CC}">
                  <c16:uniqueId val="{00000026-E1F3-4B2C-A3A3-C74F0089E604}"/>
                </c:ext>
              </c:extLst>
            </c:dLbl>
            <c:dLbl>
              <c:idx val="27"/>
              <c:delete val="1"/>
              <c:extLst>
                <c:ext xmlns:c15="http://schemas.microsoft.com/office/drawing/2012/chart" uri="{CE6537A1-D6FC-4f65-9D91-7224C49458BB}"/>
                <c:ext xmlns:c16="http://schemas.microsoft.com/office/drawing/2014/chart" uri="{C3380CC4-5D6E-409C-BE32-E72D297353CC}">
                  <c16:uniqueId val="{00000026-B0C7-4F38-9FE6-6FDC11A6F83A}"/>
                </c:ext>
              </c:extLst>
            </c:dLbl>
            <c:dLbl>
              <c:idx val="28"/>
              <c:delete val="1"/>
              <c:extLst>
                <c:ext xmlns:c15="http://schemas.microsoft.com/office/drawing/2012/chart" uri="{CE6537A1-D6FC-4f65-9D91-7224C49458BB}"/>
                <c:ext xmlns:c16="http://schemas.microsoft.com/office/drawing/2014/chart" uri="{C3380CC4-5D6E-409C-BE32-E72D297353CC}">
                  <c16:uniqueId val="{00000025-FA3E-4098-A347-20D183CA9E22}"/>
                </c:ext>
              </c:extLst>
            </c:dLbl>
            <c:dLbl>
              <c:idx val="29"/>
              <c:delete val="1"/>
              <c:extLst>
                <c:ext xmlns:c15="http://schemas.microsoft.com/office/drawing/2012/chart" uri="{CE6537A1-D6FC-4f65-9D91-7224C49458BB}"/>
                <c:ext xmlns:c16="http://schemas.microsoft.com/office/drawing/2014/chart" uri="{C3380CC4-5D6E-409C-BE32-E72D297353CC}">
                  <c16:uniqueId val="{00000025-7973-4764-9EBA-411A435E0F63}"/>
                </c:ext>
              </c:extLst>
            </c:dLbl>
            <c:dLbl>
              <c:idx val="30"/>
              <c:delete val="1"/>
              <c:extLst>
                <c:ext xmlns:c15="http://schemas.microsoft.com/office/drawing/2012/chart" uri="{CE6537A1-D6FC-4f65-9D91-7224C49458BB}"/>
                <c:ext xmlns:c16="http://schemas.microsoft.com/office/drawing/2014/chart" uri="{C3380CC4-5D6E-409C-BE32-E72D297353CC}">
                  <c16:uniqueId val="{00000026-7973-4764-9EBA-411A435E0F63}"/>
                </c:ext>
              </c:extLst>
            </c:dLbl>
            <c:dLbl>
              <c:idx val="31"/>
              <c:delete val="1"/>
              <c:extLst>
                <c:ext xmlns:c15="http://schemas.microsoft.com/office/drawing/2012/chart" uri="{CE6537A1-D6FC-4f65-9D91-7224C49458BB}"/>
                <c:ext xmlns:c16="http://schemas.microsoft.com/office/drawing/2014/chart" uri="{C3380CC4-5D6E-409C-BE32-E72D297353CC}">
                  <c16:uniqueId val="{00000024-D9C3-498A-B93B-8BB4BDBFD81E}"/>
                </c:ext>
              </c:extLst>
            </c:dLbl>
            <c:dLbl>
              <c:idx val="32"/>
              <c:delete val="1"/>
              <c:extLst>
                <c:ext xmlns:c15="http://schemas.microsoft.com/office/drawing/2012/chart" uri="{CE6537A1-D6FC-4f65-9D91-7224C49458BB}"/>
                <c:ext xmlns:c16="http://schemas.microsoft.com/office/drawing/2014/chart" uri="{C3380CC4-5D6E-409C-BE32-E72D297353CC}">
                  <c16:uniqueId val="{00000025-98EE-4131-A7D4-DEE3E4383CDC}"/>
                </c:ext>
              </c:extLst>
            </c:dLbl>
            <c:dLbl>
              <c:idx val="33"/>
              <c:delete val="1"/>
              <c:extLst>
                <c:ext xmlns:c15="http://schemas.microsoft.com/office/drawing/2012/chart" uri="{CE6537A1-D6FC-4f65-9D91-7224C49458BB}"/>
                <c:ext xmlns:c16="http://schemas.microsoft.com/office/drawing/2014/chart" uri="{C3380CC4-5D6E-409C-BE32-E72D297353CC}">
                  <c16:uniqueId val="{00000027-98EE-4131-A7D4-DEE3E4383CDC}"/>
                </c:ext>
              </c:extLst>
            </c:dLbl>
            <c:dLbl>
              <c:idx val="34"/>
              <c:delete val="1"/>
              <c:extLst>
                <c:ext xmlns:c15="http://schemas.microsoft.com/office/drawing/2012/chart" uri="{CE6537A1-D6FC-4f65-9D91-7224C49458BB}"/>
                <c:ext xmlns:c16="http://schemas.microsoft.com/office/drawing/2014/chart" uri="{C3380CC4-5D6E-409C-BE32-E72D297353CC}">
                  <c16:uniqueId val="{00000025-7AF0-402B-BB3B-0334D78A73D5}"/>
                </c:ext>
              </c:extLst>
            </c:dLbl>
            <c:dLbl>
              <c:idx val="35"/>
              <c:delete val="1"/>
              <c:extLst>
                <c:ext xmlns:c15="http://schemas.microsoft.com/office/drawing/2012/chart" uri="{CE6537A1-D6FC-4f65-9D91-7224C49458BB}"/>
                <c:ext xmlns:c16="http://schemas.microsoft.com/office/drawing/2014/chart" uri="{C3380CC4-5D6E-409C-BE32-E72D297353CC}">
                  <c16:uniqueId val="{00000028-7AF0-402B-BB3B-0334D78A73D5}"/>
                </c:ext>
              </c:extLst>
            </c:dLbl>
            <c:spPr>
              <a:noFill/>
              <a:ln>
                <a:noFill/>
              </a:ln>
              <a:effectLst/>
            </c:spPr>
            <c:txPr>
              <a:bodyPr wrap="square" lIns="38100" tIns="19050" rIns="38100" bIns="19050" anchor="ctr">
                <a:spAutoFit/>
              </a:bodyPr>
              <a:lstStyle/>
              <a:p>
                <a:pPr>
                  <a:defRPr sz="1100">
                    <a:solidFill>
                      <a:schemeClr val="tx1"/>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'3.2'!$A$14:$B$66</c15:sqref>
                  </c15:fullRef>
                </c:ext>
              </c:extLst>
              <c:f>'3.2'!$A$30:$B$66</c:f>
              <c:multiLvlStrCache>
                <c:ptCount val="37"/>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lvl>
                <c:lvl>
                  <c:pt idx="0">
                    <c:v>2017</c:v>
                  </c:pt>
                  <c:pt idx="4">
                    <c:v>2018</c:v>
                  </c:pt>
                  <c:pt idx="8">
                    <c:v>2019</c:v>
                  </c:pt>
                  <c:pt idx="12">
                    <c:v>2020</c:v>
                  </c:pt>
                  <c:pt idx="16">
                    <c:v>2021</c:v>
                  </c:pt>
                  <c:pt idx="20">
                    <c:v>2022</c:v>
                  </c:pt>
                  <c:pt idx="24">
                    <c:v>2023</c:v>
                  </c:pt>
                  <c:pt idx="28">
                    <c:v>2024</c:v>
                  </c:pt>
                  <c:pt idx="32">
                    <c:v>2025</c:v>
                  </c:pt>
                  <c:pt idx="36">
                    <c:v>2026</c:v>
                  </c:pt>
                </c:lvl>
              </c:multiLvlStrCache>
            </c:multiLvlStrRef>
          </c:cat>
          <c:val>
            <c:numRef>
              <c:extLst>
                <c:ext xmlns:c15="http://schemas.microsoft.com/office/drawing/2012/chart" uri="{02D57815-91ED-43cb-92C2-25804820EDAC}">
                  <c15:fullRef>
                    <c15:sqref>'3.2'!$G$14:$G$66</c15:sqref>
                  </c15:fullRef>
                </c:ext>
              </c:extLst>
              <c:f>'3.2'!$G$30:$G$66</c:f>
              <c:numCache>
                <c:formatCode>#,##0.00</c:formatCode>
                <c:ptCount val="37"/>
                <c:pt idx="0">
                  <c:v>38.879999999999995</c:v>
                </c:pt>
                <c:pt idx="1">
                  <c:v>47.349999999999994</c:v>
                </c:pt>
                <c:pt idx="2">
                  <c:v>37.49</c:v>
                </c:pt>
                <c:pt idx="3">
                  <c:v>29.17</c:v>
                </c:pt>
                <c:pt idx="4">
                  <c:v>32.65</c:v>
                </c:pt>
                <c:pt idx="5">
                  <c:v>36.83</c:v>
                </c:pt>
                <c:pt idx="6">
                  <c:v>37.29</c:v>
                </c:pt>
                <c:pt idx="7">
                  <c:v>35.020000000000003</c:v>
                </c:pt>
                <c:pt idx="8">
                  <c:v>29.97</c:v>
                </c:pt>
                <c:pt idx="9">
                  <c:v>28.330000000000002</c:v>
                </c:pt>
                <c:pt idx="10">
                  <c:v>37.83</c:v>
                </c:pt>
                <c:pt idx="11">
                  <c:v>30</c:v>
                </c:pt>
                <c:pt idx="12">
                  <c:v>36.840000000000003</c:v>
                </c:pt>
                <c:pt idx="13">
                  <c:v>30.07</c:v>
                </c:pt>
                <c:pt idx="14">
                  <c:v>30.73</c:v>
                </c:pt>
                <c:pt idx="15">
                  <c:v>39.770000000000003</c:v>
                </c:pt>
                <c:pt idx="16">
                  <c:v>39.18</c:v>
                </c:pt>
                <c:pt idx="17">
                  <c:v>34.89</c:v>
                </c:pt>
                <c:pt idx="18">
                  <c:v>34.33</c:v>
                </c:pt>
                <c:pt idx="19">
                  <c:v>36.050000000000004</c:v>
                </c:pt>
                <c:pt idx="20">
                  <c:v>36.370000000000005</c:v>
                </c:pt>
                <c:pt idx="21">
                  <c:v>34.58</c:v>
                </c:pt>
                <c:pt idx="22">
                  <c:v>38.92</c:v>
                </c:pt>
                <c:pt idx="23">
                  <c:v>43.5</c:v>
                </c:pt>
                <c:pt idx="24">
                  <c:v>38.31</c:v>
                </c:pt>
                <c:pt idx="25">
                  <c:v>36.225999999999999</c:v>
                </c:pt>
                <c:pt idx="26">
                  <c:v>36.33</c:v>
                </c:pt>
                <c:pt idx="27">
                  <c:v>47.42</c:v>
                </c:pt>
                <c:pt idx="28">
                  <c:v>40.96</c:v>
                </c:pt>
                <c:pt idx="29">
                  <c:v>39.28</c:v>
                </c:pt>
                <c:pt idx="30">
                  <c:v>39.139999999999986</c:v>
                </c:pt>
                <c:pt idx="31">
                  <c:v>46.190000000000012</c:v>
                </c:pt>
                <c:pt idx="32">
                  <c:v>39.269000000000005</c:v>
                </c:pt>
                <c:pt idx="33">
                  <c:v>30.52</c:v>
                </c:pt>
                <c:pt idx="34">
                  <c:v>46.100999999999999</c:v>
                </c:pt>
                <c:pt idx="35">
                  <c:v>50.415999999999997</c:v>
                </c:pt>
                <c:pt idx="36">
                  <c:v>37.501999999999995</c:v>
                </c:pt>
              </c:numCache>
            </c:numRef>
          </c:val>
          <c:extLst>
            <c:ext xmlns:c15="http://schemas.microsoft.com/office/drawing/2012/chart" uri="{02D57815-91ED-43cb-92C2-25804820EDAC}">
              <c15:categoryFilterExceptions>
                <c15:categoryFilterException>
                  <c15:sqref>'3.2'!$G$18</c15:sqref>
                  <c15:dLbl>
                    <c:idx val="-1"/>
                    <c:delete val="1"/>
                    <c:extLst>
                      <c:ext uri="{CE6537A1-D6FC-4f65-9D91-7224C49458BB}"/>
                      <c:ext xmlns:c16="http://schemas.microsoft.com/office/drawing/2014/chart" uri="{C3380CC4-5D6E-409C-BE32-E72D297353CC}">
                        <c16:uniqueId val="{0000000C-48C9-4163-867F-593AE2A94767}"/>
                      </c:ext>
                    </c:extLst>
                  </c15:dLbl>
                </c15:categoryFilterException>
                <c15:categoryFilterException>
                  <c15:sqref>'3.2'!$G$19</c15:sqref>
                  <c15:dLbl>
                    <c:idx val="-1"/>
                    <c:delete val="1"/>
                    <c:extLst>
                      <c:ext uri="{CE6537A1-D6FC-4f65-9D91-7224C49458BB}"/>
                      <c:ext xmlns:c16="http://schemas.microsoft.com/office/drawing/2014/chart" uri="{C3380CC4-5D6E-409C-BE32-E72D297353CC}">
                        <c16:uniqueId val="{0000000D-48C9-4163-867F-593AE2A94767}"/>
                      </c:ext>
                    </c:extLst>
                  </c15:dLbl>
                </c15:categoryFilterException>
                <c15:categoryFilterException>
                  <c15:sqref>'3.2'!$G$20</c15:sqref>
                  <c15:dLbl>
                    <c:idx val="-1"/>
                    <c:delete val="1"/>
                    <c:extLst>
                      <c:ext uri="{CE6537A1-D6FC-4f65-9D91-7224C49458BB}"/>
                      <c:ext xmlns:c16="http://schemas.microsoft.com/office/drawing/2014/chart" uri="{C3380CC4-5D6E-409C-BE32-E72D297353CC}">
                        <c16:uniqueId val="{0000000E-48C9-4163-867F-593AE2A94767}"/>
                      </c:ext>
                    </c:extLst>
                  </c15:dLbl>
                </c15:categoryFilterException>
                <c15:categoryFilterException>
                  <c15:sqref>'3.2'!$G$21</c15:sqref>
                  <c15:dLbl>
                    <c:idx val="-1"/>
                    <c:delete val="1"/>
                    <c:extLst>
                      <c:ext uri="{CE6537A1-D6FC-4f65-9D91-7224C49458BB}"/>
                      <c:ext xmlns:c16="http://schemas.microsoft.com/office/drawing/2014/chart" uri="{C3380CC4-5D6E-409C-BE32-E72D297353CC}">
                        <c16:uniqueId val="{0000000F-48C9-4163-867F-593AE2A94767}"/>
                      </c:ext>
                    </c:extLst>
                  </c15:dLbl>
                </c15:categoryFilterException>
                <c15:categoryFilterException>
                  <c15:sqref>'3.2'!$G$22</c15:sqref>
                  <c15:dLbl>
                    <c:idx val="-1"/>
                    <c:delete val="1"/>
                    <c:extLst>
                      <c:ext uri="{CE6537A1-D6FC-4f65-9D91-7224C49458BB}"/>
                      <c:ext xmlns:c16="http://schemas.microsoft.com/office/drawing/2014/chart" uri="{C3380CC4-5D6E-409C-BE32-E72D297353CC}">
                        <c16:uniqueId val="{00000010-48C9-4163-867F-593AE2A94767}"/>
                      </c:ext>
                    </c:extLst>
                  </c15:dLbl>
                </c15:categoryFilterException>
                <c15:categoryFilterException>
                  <c15:sqref>'3.2'!$G$23</c15:sqref>
                  <c15:dLbl>
                    <c:idx val="-1"/>
                    <c:delete val="1"/>
                    <c:extLst>
                      <c:ext uri="{CE6537A1-D6FC-4f65-9D91-7224C49458BB}"/>
                      <c:ext xmlns:c16="http://schemas.microsoft.com/office/drawing/2014/chart" uri="{C3380CC4-5D6E-409C-BE32-E72D297353CC}">
                        <c16:uniqueId val="{00000011-48C9-4163-867F-593AE2A94767}"/>
                      </c:ext>
                    </c:extLst>
                  </c15:dLbl>
                </c15:categoryFilterException>
                <c15:categoryFilterException>
                  <c15:sqref>'3.2'!$G$24</c15:sqref>
                  <c15:dLbl>
                    <c:idx val="-1"/>
                    <c:delete val="1"/>
                    <c:extLst>
                      <c:ext uri="{CE6537A1-D6FC-4f65-9D91-7224C49458BB}"/>
                      <c:ext xmlns:c16="http://schemas.microsoft.com/office/drawing/2014/chart" uri="{C3380CC4-5D6E-409C-BE32-E72D297353CC}">
                        <c16:uniqueId val="{00000012-48C9-4163-867F-593AE2A94767}"/>
                      </c:ext>
                    </c:extLst>
                  </c15:dLbl>
                </c15:categoryFilterException>
                <c15:categoryFilterException>
                  <c15:sqref>'3.2'!$G$25</c15:sqref>
                  <c15:dLbl>
                    <c:idx val="-1"/>
                    <c:delete val="1"/>
                    <c:extLst>
                      <c:ext uri="{CE6537A1-D6FC-4f65-9D91-7224C49458BB}"/>
                      <c:ext xmlns:c16="http://schemas.microsoft.com/office/drawing/2014/chart" uri="{C3380CC4-5D6E-409C-BE32-E72D297353CC}">
                        <c16:uniqueId val="{00000013-48C9-4163-867F-593AE2A94767}"/>
                      </c:ext>
                    </c:extLst>
                  </c15:dLbl>
                </c15:categoryFilterException>
                <c15:categoryFilterException>
                  <c15:sqref>'3.2'!$G$26</c15:sqref>
                  <c15:dLbl>
                    <c:idx val="-1"/>
                    <c:delete val="1"/>
                    <c:extLst>
                      <c:ext uri="{CE6537A1-D6FC-4f65-9D91-7224C49458BB}"/>
                      <c:ext xmlns:c16="http://schemas.microsoft.com/office/drawing/2014/chart" uri="{C3380CC4-5D6E-409C-BE32-E72D297353CC}">
                        <c16:uniqueId val="{00000014-48C9-4163-867F-593AE2A94767}"/>
                      </c:ext>
                    </c:extLst>
                  </c15:dLbl>
                </c15:categoryFilterException>
                <c15:categoryFilterException>
                  <c15:sqref>'3.2'!$G$27</c15:sqref>
                  <c15:dLbl>
                    <c:idx val="-1"/>
                    <c:delete val="1"/>
                    <c:extLst>
                      <c:ext uri="{CE6537A1-D6FC-4f65-9D91-7224C49458BB}"/>
                      <c:ext xmlns:c16="http://schemas.microsoft.com/office/drawing/2014/chart" uri="{C3380CC4-5D6E-409C-BE32-E72D297353CC}">
                        <c16:uniqueId val="{00000015-48C9-4163-867F-593AE2A94767}"/>
                      </c:ext>
                    </c:extLst>
                  </c15:dLbl>
                </c15:categoryFilterException>
                <c15:categoryFilterException>
                  <c15:sqref>'3.2'!$G$28</c15:sqref>
                  <c15:dLbl>
                    <c:idx val="-1"/>
                    <c:delete val="1"/>
                    <c:extLst>
                      <c:ext uri="{CE6537A1-D6FC-4f65-9D91-7224C49458BB}"/>
                      <c:ext xmlns:c16="http://schemas.microsoft.com/office/drawing/2014/chart" uri="{C3380CC4-5D6E-409C-BE32-E72D297353CC}">
                        <c16:uniqueId val="{00000016-48C9-4163-867F-593AE2A94767}"/>
                      </c:ext>
                    </c:extLst>
                  </c15:dLbl>
                </c15:categoryFilterException>
                <c15:categoryFilterException>
                  <c15:sqref>'3.2'!$G$29</c15:sqref>
                  <c15:dLbl>
                    <c:idx val="-1"/>
                    <c:delete val="1"/>
                    <c:extLst>
                      <c:ext uri="{CE6537A1-D6FC-4f65-9D91-7224C49458BB}"/>
                      <c:ext xmlns:c16="http://schemas.microsoft.com/office/drawing/2014/chart" uri="{C3380CC4-5D6E-409C-BE32-E72D297353CC}">
                        <c16:uniqueId val="{00000017-48C9-4163-867F-593AE2A94767}"/>
                      </c:ext>
                    </c:extLst>
                  </c15:dLbl>
                </c15:categoryFilterException>
              </c15:categoryFilterExceptions>
            </c:ext>
            <c:ext xmlns:c16="http://schemas.microsoft.com/office/drawing/2014/chart" uri="{C3380CC4-5D6E-409C-BE32-E72D297353CC}">
              <c16:uniqueId val="{00000032-F095-4740-B401-3D1D9CBCDC20}"/>
            </c:ext>
          </c:extLst>
        </c:ser>
        <c:dLbls>
          <c:showLegendKey val="0"/>
          <c:showVal val="0"/>
          <c:showCatName val="0"/>
          <c:showSerName val="0"/>
          <c:showPercent val="0"/>
          <c:showBubbleSize val="0"/>
        </c:dLbls>
        <c:gapWidth val="55"/>
        <c:overlap val="100"/>
        <c:axId val="486516736"/>
        <c:axId val="486517128"/>
      </c:barChart>
      <c:lineChart>
        <c:grouping val="standard"/>
        <c:varyColors val="0"/>
        <c:ser>
          <c:idx val="2"/>
          <c:order val="2"/>
          <c:tx>
            <c:strRef>
              <c:f>'3.2'!$C$4:$C$5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43-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44-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45-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46-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47-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48-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49-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4A-F095-4740-B401-3D1D9CBCDC20}"/>
                </c:ext>
              </c:extLst>
            </c:dLbl>
            <c:dLbl>
              <c:idx val="8"/>
              <c:delete val="1"/>
              <c:extLst>
                <c:ext xmlns:c15="http://schemas.microsoft.com/office/drawing/2012/chart" uri="{CE6537A1-D6FC-4f65-9D91-7224C49458BB}"/>
                <c:ext xmlns:c16="http://schemas.microsoft.com/office/drawing/2014/chart" uri="{C3380CC4-5D6E-409C-BE32-E72D297353CC}">
                  <c16:uniqueId val="{00000002-DE3B-410E-B4EC-1816E4889167}"/>
                </c:ext>
              </c:extLst>
            </c:dLbl>
            <c:dLbl>
              <c:idx val="9"/>
              <c:delete val="1"/>
              <c:extLst>
                <c:ext xmlns:c15="http://schemas.microsoft.com/office/drawing/2012/chart" uri="{CE6537A1-D6FC-4f65-9D91-7224C49458BB}"/>
                <c:ext xmlns:c16="http://schemas.microsoft.com/office/drawing/2014/chart" uri="{C3380CC4-5D6E-409C-BE32-E72D297353CC}">
                  <c16:uniqueId val="{00000002-3F2F-4E88-91B6-53758C5230E7}"/>
                </c:ext>
              </c:extLst>
            </c:dLbl>
            <c:dLbl>
              <c:idx val="10"/>
              <c:delete val="1"/>
              <c:extLst>
                <c:ext xmlns:c15="http://schemas.microsoft.com/office/drawing/2012/chart" uri="{CE6537A1-D6FC-4f65-9D91-7224C49458BB}"/>
                <c:ext xmlns:c16="http://schemas.microsoft.com/office/drawing/2014/chart" uri="{C3380CC4-5D6E-409C-BE32-E72D297353CC}">
                  <c16:uniqueId val="{0000000F-E555-499B-B653-737891DBE533}"/>
                </c:ext>
              </c:extLst>
            </c:dLbl>
            <c:dLbl>
              <c:idx val="11"/>
              <c:delete val="1"/>
              <c:extLst>
                <c:ext xmlns:c15="http://schemas.microsoft.com/office/drawing/2012/chart" uri="{CE6537A1-D6FC-4f65-9D91-7224C49458BB}"/>
                <c:ext xmlns:c16="http://schemas.microsoft.com/office/drawing/2014/chart" uri="{C3380CC4-5D6E-409C-BE32-E72D297353CC}">
                  <c16:uniqueId val="{0000000D-ED20-4DEE-A4C1-0DC1148ECAB2}"/>
                </c:ext>
              </c:extLst>
            </c:dLbl>
            <c:dLbl>
              <c:idx val="12"/>
              <c:delete val="1"/>
              <c:extLst>
                <c:ext xmlns:c15="http://schemas.microsoft.com/office/drawing/2012/chart" uri="{CE6537A1-D6FC-4f65-9D91-7224C49458BB}"/>
                <c:ext xmlns:c16="http://schemas.microsoft.com/office/drawing/2014/chart" uri="{C3380CC4-5D6E-409C-BE32-E72D297353CC}">
                  <c16:uniqueId val="{0000000C-8E72-4C9C-B69C-2DC18B4B34F6}"/>
                </c:ext>
              </c:extLst>
            </c:dLbl>
            <c:dLbl>
              <c:idx val="13"/>
              <c:delete val="1"/>
              <c:extLst>
                <c:ext xmlns:c15="http://schemas.microsoft.com/office/drawing/2012/chart" uri="{CE6537A1-D6FC-4f65-9D91-7224C49458BB}"/>
                <c:ext xmlns:c16="http://schemas.microsoft.com/office/drawing/2014/chart" uri="{C3380CC4-5D6E-409C-BE32-E72D297353CC}">
                  <c16:uniqueId val="{0000000D-5D84-46C1-87F3-47B5F9DEF76E}"/>
                </c:ext>
              </c:extLst>
            </c:dLbl>
            <c:dLbl>
              <c:idx val="14"/>
              <c:delete val="1"/>
              <c:extLst>
                <c:ext xmlns:c15="http://schemas.microsoft.com/office/drawing/2012/chart" uri="{CE6537A1-D6FC-4f65-9D91-7224C49458BB}"/>
                <c:ext xmlns:c16="http://schemas.microsoft.com/office/drawing/2014/chart" uri="{C3380CC4-5D6E-409C-BE32-E72D297353CC}">
                  <c16:uniqueId val="{0000000C-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0C-5EF7-4A9D-9238-E2F834A18454}"/>
                </c:ext>
              </c:extLst>
            </c:dLbl>
            <c:dLbl>
              <c:idx val="16"/>
              <c:delete val="1"/>
              <c:extLst>
                <c:ext xmlns:c15="http://schemas.microsoft.com/office/drawing/2012/chart" uri="{CE6537A1-D6FC-4f65-9D91-7224C49458BB}"/>
                <c:ext xmlns:c16="http://schemas.microsoft.com/office/drawing/2014/chart" uri="{C3380CC4-5D6E-409C-BE32-E72D297353CC}">
                  <c16:uniqueId val="{00000018-AFD5-4A31-B73B-113D395CBCB4}"/>
                </c:ext>
              </c:extLst>
            </c:dLbl>
            <c:dLbl>
              <c:idx val="17"/>
              <c:delete val="1"/>
              <c:extLst>
                <c:ext xmlns:c15="http://schemas.microsoft.com/office/drawing/2012/chart" uri="{CE6537A1-D6FC-4f65-9D91-7224C49458BB}"/>
                <c:ext xmlns:c16="http://schemas.microsoft.com/office/drawing/2014/chart" uri="{C3380CC4-5D6E-409C-BE32-E72D297353CC}">
                  <c16:uniqueId val="{00000018-67CE-425D-B458-EAB6AC708318}"/>
                </c:ext>
              </c:extLst>
            </c:dLbl>
            <c:dLbl>
              <c:idx val="18"/>
              <c:delete val="1"/>
              <c:extLst>
                <c:ext xmlns:c15="http://schemas.microsoft.com/office/drawing/2012/chart" uri="{CE6537A1-D6FC-4f65-9D91-7224C49458BB}"/>
                <c:ext xmlns:c16="http://schemas.microsoft.com/office/drawing/2014/chart" uri="{C3380CC4-5D6E-409C-BE32-E72D297353CC}">
                  <c16:uniqueId val="{00000018-8180-482A-8303-1364262FD537}"/>
                </c:ext>
              </c:extLst>
            </c:dLbl>
            <c:dLbl>
              <c:idx val="19"/>
              <c:delete val="1"/>
              <c:extLst>
                <c:ext xmlns:c15="http://schemas.microsoft.com/office/drawing/2012/chart" uri="{CE6537A1-D6FC-4f65-9D91-7224C49458BB}"/>
                <c:ext xmlns:c16="http://schemas.microsoft.com/office/drawing/2014/chart" uri="{C3380CC4-5D6E-409C-BE32-E72D297353CC}">
                  <c16:uniqueId val="{0000001A-BB1A-41C7-B39E-E3A6AC5A0F75}"/>
                </c:ext>
              </c:extLst>
            </c:dLbl>
            <c:dLbl>
              <c:idx val="20"/>
              <c:delete val="1"/>
              <c:extLst>
                <c:ext xmlns:c15="http://schemas.microsoft.com/office/drawing/2012/chart" uri="{CE6537A1-D6FC-4f65-9D91-7224C49458BB}"/>
                <c:ext xmlns:c16="http://schemas.microsoft.com/office/drawing/2014/chart" uri="{C3380CC4-5D6E-409C-BE32-E72D297353CC}">
                  <c16:uniqueId val="{00000026-4AE2-469D-B5E4-D0A16E259C9A}"/>
                </c:ext>
              </c:extLst>
            </c:dLbl>
            <c:dLbl>
              <c:idx val="21"/>
              <c:delete val="1"/>
              <c:extLst>
                <c:ext xmlns:c15="http://schemas.microsoft.com/office/drawing/2012/chart" uri="{CE6537A1-D6FC-4f65-9D91-7224C49458BB}"/>
                <c:ext xmlns:c16="http://schemas.microsoft.com/office/drawing/2014/chart" uri="{C3380CC4-5D6E-409C-BE32-E72D297353CC}">
                  <c16:uniqueId val="{00000026-4C51-4F49-9D78-D1C2F3C81353}"/>
                </c:ext>
              </c:extLst>
            </c:dLbl>
            <c:dLbl>
              <c:idx val="22"/>
              <c:delete val="1"/>
              <c:extLst>
                <c:ext xmlns:c15="http://schemas.microsoft.com/office/drawing/2012/chart" uri="{CE6537A1-D6FC-4f65-9D91-7224C49458BB}"/>
                <c:ext xmlns:c16="http://schemas.microsoft.com/office/drawing/2014/chart" uri="{C3380CC4-5D6E-409C-BE32-E72D297353CC}">
                  <c16:uniqueId val="{00000024-B560-4A4C-A000-CA22FB4A7863}"/>
                </c:ext>
              </c:extLst>
            </c:dLbl>
            <c:dLbl>
              <c:idx val="23"/>
              <c:delete val="1"/>
              <c:extLst>
                <c:ext xmlns:c15="http://schemas.microsoft.com/office/drawing/2012/chart" uri="{CE6537A1-D6FC-4f65-9D91-7224C49458BB}"/>
                <c:ext xmlns:c16="http://schemas.microsoft.com/office/drawing/2014/chart" uri="{C3380CC4-5D6E-409C-BE32-E72D297353CC}">
                  <c16:uniqueId val="{00000024-4049-4A0D-904A-5833E5C0A660}"/>
                </c:ext>
              </c:extLst>
            </c:dLbl>
            <c:dLbl>
              <c:idx val="24"/>
              <c:delete val="1"/>
              <c:extLst>
                <c:ext xmlns:c15="http://schemas.microsoft.com/office/drawing/2012/chart" uri="{CE6537A1-D6FC-4f65-9D91-7224C49458BB}"/>
                <c:ext xmlns:c16="http://schemas.microsoft.com/office/drawing/2014/chart" uri="{C3380CC4-5D6E-409C-BE32-E72D297353CC}">
                  <c16:uniqueId val="{00000026-89F2-4136-8642-01028EF2BF8C}"/>
                </c:ext>
              </c:extLst>
            </c:dLbl>
            <c:dLbl>
              <c:idx val="25"/>
              <c:delete val="1"/>
              <c:extLst>
                <c:ext xmlns:c15="http://schemas.microsoft.com/office/drawing/2012/chart" uri="{CE6537A1-D6FC-4f65-9D91-7224C49458BB}"/>
                <c:ext xmlns:c16="http://schemas.microsoft.com/office/drawing/2014/chart" uri="{C3380CC4-5D6E-409C-BE32-E72D297353CC}">
                  <c16:uniqueId val="{00000026-1026-4AE0-ABB8-C15E0882C662}"/>
                </c:ext>
              </c:extLst>
            </c:dLbl>
            <c:dLbl>
              <c:idx val="26"/>
              <c:delete val="1"/>
              <c:extLst>
                <c:ext xmlns:c15="http://schemas.microsoft.com/office/drawing/2012/chart" uri="{CE6537A1-D6FC-4f65-9D91-7224C49458BB}"/>
                <c:ext xmlns:c16="http://schemas.microsoft.com/office/drawing/2014/chart" uri="{C3380CC4-5D6E-409C-BE32-E72D297353CC}">
                  <c16:uniqueId val="{00000027-E1F3-4B2C-A3A3-C74F0089E604}"/>
                </c:ext>
              </c:extLst>
            </c:dLbl>
            <c:dLbl>
              <c:idx val="27"/>
              <c:delete val="1"/>
              <c:extLst>
                <c:ext xmlns:c15="http://schemas.microsoft.com/office/drawing/2012/chart" uri="{CE6537A1-D6FC-4f65-9D91-7224C49458BB}"/>
                <c:ext xmlns:c16="http://schemas.microsoft.com/office/drawing/2014/chart" uri="{C3380CC4-5D6E-409C-BE32-E72D297353CC}">
                  <c16:uniqueId val="{00000026-5D0F-4B56-B4E5-41D1B9878312}"/>
                </c:ext>
              </c:extLst>
            </c:dLbl>
            <c:dLbl>
              <c:idx val="28"/>
              <c:delete val="1"/>
              <c:extLst>
                <c:ext xmlns:c15="http://schemas.microsoft.com/office/drawing/2012/chart" uri="{CE6537A1-D6FC-4f65-9D91-7224C49458BB}"/>
                <c:ext xmlns:c16="http://schemas.microsoft.com/office/drawing/2014/chart" uri="{C3380CC4-5D6E-409C-BE32-E72D297353CC}">
                  <c16:uniqueId val="{00000025-B0C7-4F38-9FE6-6FDC11A6F83A}"/>
                </c:ext>
              </c:extLst>
            </c:dLbl>
            <c:dLbl>
              <c:idx val="29"/>
              <c:delete val="1"/>
              <c:extLst>
                <c:ext xmlns:c15="http://schemas.microsoft.com/office/drawing/2012/chart" uri="{CE6537A1-D6FC-4f65-9D91-7224C49458BB}"/>
                <c:ext xmlns:c16="http://schemas.microsoft.com/office/drawing/2014/chart" uri="{C3380CC4-5D6E-409C-BE32-E72D297353CC}">
                  <c16:uniqueId val="{00000026-FA3E-4098-A347-20D183CA9E22}"/>
                </c:ext>
              </c:extLst>
            </c:dLbl>
            <c:dLbl>
              <c:idx val="30"/>
              <c:delete val="1"/>
              <c:extLst>
                <c:ext xmlns:c15="http://schemas.microsoft.com/office/drawing/2012/chart" uri="{CE6537A1-D6FC-4f65-9D91-7224C49458BB}"/>
                <c:ext xmlns:c16="http://schemas.microsoft.com/office/drawing/2014/chart" uri="{C3380CC4-5D6E-409C-BE32-E72D297353CC}">
                  <c16:uniqueId val="{00000024-7973-4764-9EBA-411A435E0F63}"/>
                </c:ext>
              </c:extLst>
            </c:dLbl>
            <c:dLbl>
              <c:idx val="31"/>
              <c:delete val="1"/>
              <c:extLst>
                <c:ext xmlns:c15="http://schemas.microsoft.com/office/drawing/2012/chart" uri="{CE6537A1-D6FC-4f65-9D91-7224C49458BB}"/>
                <c:ext xmlns:c16="http://schemas.microsoft.com/office/drawing/2014/chart" uri="{C3380CC4-5D6E-409C-BE32-E72D297353CC}">
                  <c16:uniqueId val="{00000025-D0DA-4F9A-985A-D6921A8572B3}"/>
                </c:ext>
              </c:extLst>
            </c:dLbl>
            <c:dLbl>
              <c:idx val="32"/>
              <c:delete val="1"/>
              <c:extLst>
                <c:ext xmlns:c15="http://schemas.microsoft.com/office/drawing/2012/chart" uri="{CE6537A1-D6FC-4f65-9D91-7224C49458BB}"/>
                <c:ext xmlns:c16="http://schemas.microsoft.com/office/drawing/2014/chart" uri="{C3380CC4-5D6E-409C-BE32-E72D297353CC}">
                  <c16:uniqueId val="{00000026-D9C3-498A-B93B-8BB4BDBFD81E}"/>
                </c:ext>
              </c:extLst>
            </c:dLbl>
            <c:dLbl>
              <c:idx val="33"/>
              <c:delete val="1"/>
              <c:extLst>
                <c:ext xmlns:c15="http://schemas.microsoft.com/office/drawing/2012/chart" uri="{CE6537A1-D6FC-4f65-9D91-7224C49458BB}"/>
                <c:ext xmlns:c16="http://schemas.microsoft.com/office/drawing/2014/chart" uri="{C3380CC4-5D6E-409C-BE32-E72D297353CC}">
                  <c16:uniqueId val="{00000024-98EE-4131-A7D4-DEE3E4383CDC}"/>
                </c:ext>
              </c:extLst>
            </c:dLbl>
            <c:dLbl>
              <c:idx val="34"/>
              <c:delete val="1"/>
              <c:extLst>
                <c:ext xmlns:c15="http://schemas.microsoft.com/office/drawing/2012/chart" uri="{CE6537A1-D6FC-4f65-9D91-7224C49458BB}"/>
                <c:ext xmlns:c16="http://schemas.microsoft.com/office/drawing/2014/chart" uri="{C3380CC4-5D6E-409C-BE32-E72D297353CC}">
                  <c16:uniqueId val="{00000024-7247-44B3-957E-784559699436}"/>
                </c:ext>
              </c:extLst>
            </c:dLbl>
            <c:dLbl>
              <c:idx val="35"/>
              <c:delete val="1"/>
              <c:extLst>
                <c:ext xmlns:c15="http://schemas.microsoft.com/office/drawing/2012/chart" uri="{CE6537A1-D6FC-4f65-9D91-7224C49458BB}"/>
                <c:ext xmlns:c16="http://schemas.microsoft.com/office/drawing/2014/chart" uri="{C3380CC4-5D6E-409C-BE32-E72D297353CC}">
                  <c16:uniqueId val="{00000024-7AF0-402B-BB3B-0334D78A73D5}"/>
                </c:ext>
              </c:extLst>
            </c:dLbl>
            <c:dLbl>
              <c:idx val="36"/>
              <c:layout>
                <c:manualLayout>
                  <c:x val="-3.6168132942326493E-2"/>
                  <c:y val="-8.4848484848484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1AD8-46ED-8655-8EE7E9E1E6AB}"/>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'3.2'!$A$14:$B$66</c15:sqref>
                  </c15:fullRef>
                </c:ext>
              </c:extLst>
              <c:f>'3.2'!$A$30:$B$66</c:f>
              <c:multiLvlStrCache>
                <c:ptCount val="37"/>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lvl>
                <c:lvl>
                  <c:pt idx="0">
                    <c:v>2017</c:v>
                  </c:pt>
                  <c:pt idx="4">
                    <c:v>2018</c:v>
                  </c:pt>
                  <c:pt idx="8">
                    <c:v>2019</c:v>
                  </c:pt>
                  <c:pt idx="12">
                    <c:v>2020</c:v>
                  </c:pt>
                  <c:pt idx="16">
                    <c:v>2021</c:v>
                  </c:pt>
                  <c:pt idx="20">
                    <c:v>2022</c:v>
                  </c:pt>
                  <c:pt idx="24">
                    <c:v>2023</c:v>
                  </c:pt>
                  <c:pt idx="28">
                    <c:v>2024</c:v>
                  </c:pt>
                  <c:pt idx="32">
                    <c:v>2025</c:v>
                  </c:pt>
                  <c:pt idx="36">
                    <c:v>2026</c:v>
                  </c:pt>
                </c:lvl>
              </c:multiLvlStrCache>
            </c:multiLvlStrRef>
          </c:cat>
          <c:val>
            <c:numRef>
              <c:extLst>
                <c:ext xmlns:c15="http://schemas.microsoft.com/office/drawing/2012/chart" uri="{02D57815-91ED-43cb-92C2-25804820EDAC}">
                  <c15:fullRef>
                    <c15:sqref>'3.2'!$C$14:$C$66</c15:sqref>
                  </c15:fullRef>
                </c:ext>
              </c:extLst>
              <c:f>'3.2'!$C$30:$C$66</c:f>
              <c:numCache>
                <c:formatCode>#,##0.00</c:formatCode>
                <c:ptCount val="37"/>
                <c:pt idx="0">
                  <c:v>76.899999999999991</c:v>
                </c:pt>
                <c:pt idx="1">
                  <c:v>85.96</c:v>
                </c:pt>
                <c:pt idx="2">
                  <c:v>68.42</c:v>
                </c:pt>
                <c:pt idx="3">
                  <c:v>64.78</c:v>
                </c:pt>
                <c:pt idx="4">
                  <c:v>77.25</c:v>
                </c:pt>
                <c:pt idx="5">
                  <c:v>71.73</c:v>
                </c:pt>
                <c:pt idx="6">
                  <c:v>75.63</c:v>
                </c:pt>
                <c:pt idx="7">
                  <c:v>70.12</c:v>
                </c:pt>
                <c:pt idx="8">
                  <c:v>68.41</c:v>
                </c:pt>
                <c:pt idx="9">
                  <c:v>65.78</c:v>
                </c:pt>
                <c:pt idx="10">
                  <c:v>87.78</c:v>
                </c:pt>
                <c:pt idx="11">
                  <c:v>69.22</c:v>
                </c:pt>
                <c:pt idx="12">
                  <c:v>79.300000000000011</c:v>
                </c:pt>
                <c:pt idx="13">
                  <c:v>65.509999999999991</c:v>
                </c:pt>
                <c:pt idx="14">
                  <c:v>74.94</c:v>
                </c:pt>
                <c:pt idx="15">
                  <c:v>80.460000000000008</c:v>
                </c:pt>
                <c:pt idx="16">
                  <c:v>79.47</c:v>
                </c:pt>
                <c:pt idx="17">
                  <c:v>73.67</c:v>
                </c:pt>
                <c:pt idx="18">
                  <c:v>73.509999999999991</c:v>
                </c:pt>
                <c:pt idx="19">
                  <c:v>82.98</c:v>
                </c:pt>
                <c:pt idx="20">
                  <c:v>81.180000000000007</c:v>
                </c:pt>
                <c:pt idx="21">
                  <c:v>80.039999999999992</c:v>
                </c:pt>
                <c:pt idx="22">
                  <c:v>79.710000000000008</c:v>
                </c:pt>
                <c:pt idx="23">
                  <c:v>88.73</c:v>
                </c:pt>
                <c:pt idx="24">
                  <c:v>84.570000000000007</c:v>
                </c:pt>
                <c:pt idx="25">
                  <c:v>83.867000000000004</c:v>
                </c:pt>
                <c:pt idx="26">
                  <c:v>77.84</c:v>
                </c:pt>
                <c:pt idx="27">
                  <c:v>93.19</c:v>
                </c:pt>
                <c:pt idx="28">
                  <c:v>91.88</c:v>
                </c:pt>
                <c:pt idx="29">
                  <c:v>79.930000000000007</c:v>
                </c:pt>
                <c:pt idx="30">
                  <c:v>79.029999999999987</c:v>
                </c:pt>
                <c:pt idx="31">
                  <c:v>95.570000000000022</c:v>
                </c:pt>
                <c:pt idx="32">
                  <c:v>80.363</c:v>
                </c:pt>
                <c:pt idx="33">
                  <c:v>91.364999999999995</c:v>
                </c:pt>
                <c:pt idx="34">
                  <c:v>90.525999999999996</c:v>
                </c:pt>
                <c:pt idx="35">
                  <c:v>98.662999999999997</c:v>
                </c:pt>
                <c:pt idx="36">
                  <c:v>91.25</c:v>
                </c:pt>
              </c:numCache>
            </c:numRef>
          </c:val>
          <c:smooth val="0"/>
          <c:extLst>
            <c:ext xmlns:c15="http://schemas.microsoft.com/office/drawing/2012/chart" uri="{02D57815-91ED-43cb-92C2-25804820EDAC}">
              <c15:categoryFilterExceptions>
                <c15:categoryFilterException>
                  <c15:sqref>'3.2'!$C$18</c15:sqref>
                  <c15:dLbl>
                    <c:idx val="-1"/>
                    <c:delete val="1"/>
                    <c:extLst>
                      <c:ext uri="{CE6537A1-D6FC-4f65-9D91-7224C49458BB}"/>
                      <c:ext xmlns:c16="http://schemas.microsoft.com/office/drawing/2014/chart" uri="{C3380CC4-5D6E-409C-BE32-E72D297353CC}">
                        <c16:uniqueId val="{00000018-48C9-4163-867F-593AE2A94767}"/>
                      </c:ext>
                    </c:extLst>
                  </c15:dLbl>
                </c15:categoryFilterException>
                <c15:categoryFilterException>
                  <c15:sqref>'3.2'!$C$19</c15:sqref>
                  <c15:dLbl>
                    <c:idx val="-1"/>
                    <c:delete val="1"/>
                    <c:extLst>
                      <c:ext uri="{CE6537A1-D6FC-4f65-9D91-7224C49458BB}"/>
                      <c:ext xmlns:c16="http://schemas.microsoft.com/office/drawing/2014/chart" uri="{C3380CC4-5D6E-409C-BE32-E72D297353CC}">
                        <c16:uniqueId val="{00000019-48C9-4163-867F-593AE2A94767}"/>
                      </c:ext>
                    </c:extLst>
                  </c15:dLbl>
                </c15:categoryFilterException>
                <c15:categoryFilterException>
                  <c15:sqref>'3.2'!$C$20</c15:sqref>
                  <c15:dLbl>
                    <c:idx val="-1"/>
                    <c:delete val="1"/>
                    <c:extLst>
                      <c:ext uri="{CE6537A1-D6FC-4f65-9D91-7224C49458BB}"/>
                      <c:ext xmlns:c16="http://schemas.microsoft.com/office/drawing/2014/chart" uri="{C3380CC4-5D6E-409C-BE32-E72D297353CC}">
                        <c16:uniqueId val="{0000001A-48C9-4163-867F-593AE2A94767}"/>
                      </c:ext>
                    </c:extLst>
                  </c15:dLbl>
                </c15:categoryFilterException>
                <c15:categoryFilterException>
                  <c15:sqref>'3.2'!$C$21</c15:sqref>
                  <c15:dLbl>
                    <c:idx val="-1"/>
                    <c:delete val="1"/>
                    <c:extLst>
                      <c:ext uri="{CE6537A1-D6FC-4f65-9D91-7224C49458BB}"/>
                      <c:ext xmlns:c16="http://schemas.microsoft.com/office/drawing/2014/chart" uri="{C3380CC4-5D6E-409C-BE32-E72D297353CC}">
                        <c16:uniqueId val="{0000001B-48C9-4163-867F-593AE2A94767}"/>
                      </c:ext>
                    </c:extLst>
                  </c15:dLbl>
                </c15:categoryFilterException>
                <c15:categoryFilterException>
                  <c15:sqref>'3.2'!$C$22</c15:sqref>
                  <c15:dLbl>
                    <c:idx val="-1"/>
                    <c:delete val="1"/>
                    <c:extLst>
                      <c:ext uri="{CE6537A1-D6FC-4f65-9D91-7224C49458BB}"/>
                      <c:ext xmlns:c16="http://schemas.microsoft.com/office/drawing/2014/chart" uri="{C3380CC4-5D6E-409C-BE32-E72D297353CC}">
                        <c16:uniqueId val="{0000001C-48C9-4163-867F-593AE2A94767}"/>
                      </c:ext>
                    </c:extLst>
                  </c15:dLbl>
                </c15:categoryFilterException>
                <c15:categoryFilterException>
                  <c15:sqref>'3.2'!$C$23</c15:sqref>
                  <c15:dLbl>
                    <c:idx val="-1"/>
                    <c:delete val="1"/>
                    <c:extLst>
                      <c:ext uri="{CE6537A1-D6FC-4f65-9D91-7224C49458BB}"/>
                      <c:ext xmlns:c16="http://schemas.microsoft.com/office/drawing/2014/chart" uri="{C3380CC4-5D6E-409C-BE32-E72D297353CC}">
                        <c16:uniqueId val="{0000001D-48C9-4163-867F-593AE2A94767}"/>
                      </c:ext>
                    </c:extLst>
                  </c15:dLbl>
                </c15:categoryFilterException>
                <c15:categoryFilterException>
                  <c15:sqref>'3.2'!$C$24</c15:sqref>
                  <c15:dLbl>
                    <c:idx val="-1"/>
                    <c:delete val="1"/>
                    <c:extLst>
                      <c:ext uri="{CE6537A1-D6FC-4f65-9D91-7224C49458BB}"/>
                      <c:ext xmlns:c16="http://schemas.microsoft.com/office/drawing/2014/chart" uri="{C3380CC4-5D6E-409C-BE32-E72D297353CC}">
                        <c16:uniqueId val="{0000001E-48C9-4163-867F-593AE2A94767}"/>
                      </c:ext>
                    </c:extLst>
                  </c15:dLbl>
                </c15:categoryFilterException>
                <c15:categoryFilterException>
                  <c15:sqref>'3.2'!$C$25</c15:sqref>
                  <c15:dLbl>
                    <c:idx val="-1"/>
                    <c:delete val="1"/>
                    <c:extLst>
                      <c:ext uri="{CE6537A1-D6FC-4f65-9D91-7224C49458BB}"/>
                      <c:ext xmlns:c16="http://schemas.microsoft.com/office/drawing/2014/chart" uri="{C3380CC4-5D6E-409C-BE32-E72D297353CC}">
                        <c16:uniqueId val="{0000001F-48C9-4163-867F-593AE2A94767}"/>
                      </c:ext>
                    </c:extLst>
                  </c15:dLbl>
                </c15:categoryFilterException>
                <c15:categoryFilterException>
                  <c15:sqref>'3.2'!$C$26</c15:sqref>
                  <c15:dLbl>
                    <c:idx val="-1"/>
                    <c:delete val="1"/>
                    <c:extLst>
                      <c:ext uri="{CE6537A1-D6FC-4f65-9D91-7224C49458BB}"/>
                      <c:ext xmlns:c16="http://schemas.microsoft.com/office/drawing/2014/chart" uri="{C3380CC4-5D6E-409C-BE32-E72D297353CC}">
                        <c16:uniqueId val="{00000020-48C9-4163-867F-593AE2A94767}"/>
                      </c:ext>
                    </c:extLst>
                  </c15:dLbl>
                </c15:categoryFilterException>
                <c15:categoryFilterException>
                  <c15:sqref>'3.2'!$C$27</c15:sqref>
                  <c15:dLbl>
                    <c:idx val="-1"/>
                    <c:delete val="1"/>
                    <c:extLst>
                      <c:ext uri="{CE6537A1-D6FC-4f65-9D91-7224C49458BB}"/>
                      <c:ext xmlns:c16="http://schemas.microsoft.com/office/drawing/2014/chart" uri="{C3380CC4-5D6E-409C-BE32-E72D297353CC}">
                        <c16:uniqueId val="{00000021-48C9-4163-867F-593AE2A94767}"/>
                      </c:ext>
                    </c:extLst>
                  </c15:dLbl>
                </c15:categoryFilterException>
                <c15:categoryFilterException>
                  <c15:sqref>'3.2'!$C$28</c15:sqref>
                  <c15:dLbl>
                    <c:idx val="-1"/>
                    <c:delete val="1"/>
                    <c:extLst>
                      <c:ext uri="{CE6537A1-D6FC-4f65-9D91-7224C49458BB}"/>
                      <c:ext xmlns:c16="http://schemas.microsoft.com/office/drawing/2014/chart" uri="{C3380CC4-5D6E-409C-BE32-E72D297353CC}">
                        <c16:uniqueId val="{00000022-48C9-4163-867F-593AE2A94767}"/>
                      </c:ext>
                    </c:extLst>
                  </c15:dLbl>
                </c15:categoryFilterException>
                <c15:categoryFilterException>
                  <c15:sqref>'3.2'!$C$29</c15:sqref>
                  <c15:dLbl>
                    <c:idx val="-1"/>
                    <c:delete val="1"/>
                    <c:extLst>
                      <c:ext uri="{CE6537A1-D6FC-4f65-9D91-7224C49458BB}"/>
                      <c:ext xmlns:c16="http://schemas.microsoft.com/office/drawing/2014/chart" uri="{C3380CC4-5D6E-409C-BE32-E72D297353CC}">
                        <c16:uniqueId val="{00000023-48C9-4163-867F-593AE2A94767}"/>
                      </c:ext>
                    </c:extLst>
                  </c15:dLbl>
                </c15:categoryFilterException>
              </c15:categoryFilterExceptions>
            </c:ext>
            <c:ext xmlns:c16="http://schemas.microsoft.com/office/drawing/2014/chart" uri="{C3380CC4-5D6E-409C-BE32-E72D297353CC}">
              <c16:uniqueId val="{0000004C-F095-4740-B401-3D1D9CBCDC20}"/>
            </c:ext>
          </c:extLst>
        </c:ser>
        <c:dLbls>
          <c:showLegendKey val="0"/>
          <c:showVal val="0"/>
          <c:showCatName val="0"/>
          <c:showSerName val="0"/>
          <c:showPercent val="0"/>
          <c:showBubbleSize val="0"/>
        </c:dLbls>
        <c:marker val="1"/>
        <c:smooth val="0"/>
        <c:axId val="486516736"/>
        <c:axId val="486517128"/>
      </c:lineChart>
      <c:catAx>
        <c:axId val="486516736"/>
        <c:scaling>
          <c:orientation val="minMax"/>
        </c:scaling>
        <c:delete val="0"/>
        <c:axPos val="b"/>
        <c:numFmt formatCode="General" sourceLinked="0"/>
        <c:majorTickMark val="none"/>
        <c:minorTickMark val="none"/>
        <c:tickLblPos val="nextTo"/>
        <c:txPr>
          <a:bodyPr rot="-5400000" vert="horz"/>
          <a:lstStyle/>
          <a:p>
            <a:pPr>
              <a:defRPr sz="1100" b="0">
                <a:latin typeface="Geomanist" panose="02000503000000020004" pitchFamily="50" charset="0"/>
              </a:defRPr>
            </a:pPr>
            <a:endParaRPr lang="en-US"/>
          </a:p>
        </c:txPr>
        <c:crossAx val="486517128"/>
        <c:crosses val="autoZero"/>
        <c:auto val="1"/>
        <c:lblAlgn val="ctr"/>
        <c:lblOffset val="100"/>
        <c:noMultiLvlLbl val="0"/>
      </c:catAx>
      <c:valAx>
        <c:axId val="486517128"/>
        <c:scaling>
          <c:orientation val="minMax"/>
        </c:scaling>
        <c:delete val="0"/>
        <c:axPos val="l"/>
        <c:majorGridlines>
          <c:spPr>
            <a:ln>
              <a:solidFill>
                <a:schemeClr val="bg1">
                  <a:lumMod val="85000"/>
                </a:schemeClr>
              </a:solidFill>
              <a:prstDash val="solid"/>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7.3317246634493271E-3"/>
              <c:y val="0.37562395609639704"/>
            </c:manualLayout>
          </c:layout>
          <c:overlay val="0"/>
        </c:title>
        <c:numFmt formatCode="#,##0.00" sourceLinked="1"/>
        <c:majorTickMark val="none"/>
        <c:minorTickMark val="none"/>
        <c:tickLblPos val="nextTo"/>
        <c:txPr>
          <a:bodyPr/>
          <a:lstStyle/>
          <a:p>
            <a:pPr>
              <a:defRPr sz="1100" b="1">
                <a:latin typeface="Geomanist" panose="02000503000000020004" pitchFamily="50" charset="0"/>
              </a:defRPr>
            </a:pPr>
            <a:endParaRPr lang="en-US"/>
          </a:p>
        </c:txPr>
        <c:crossAx val="486516736"/>
        <c:crosses val="autoZero"/>
        <c:crossBetween val="between"/>
      </c:valAx>
      <c:spPr>
        <a:ln w="0">
          <a:solidFill>
            <a:schemeClr val="bg1">
              <a:lumMod val="85000"/>
            </a:schemeClr>
          </a:solidFill>
        </a:ln>
      </c:spPr>
    </c:plotArea>
    <c:legend>
      <c:legendPos val="r"/>
      <c:layout>
        <c:manualLayout>
          <c:xMode val="edge"/>
          <c:yMode val="edge"/>
          <c:x val="0.21187371556561296"/>
          <c:y val="0.94258379066253084"/>
          <c:w val="0.57237572166587602"/>
          <c:h val="4.1666131843299779E-2"/>
        </c:manualLayout>
      </c:layout>
      <c:overlay val="0"/>
      <c:txPr>
        <a:bodyPr/>
        <a:lstStyle/>
        <a:p>
          <a:pPr>
            <a:defRPr sz="1200" b="0">
              <a:latin typeface="Heuristica" panose="02020603050705020204" pitchFamily="18" charset="0"/>
            </a:defRPr>
          </a:pPr>
          <a:endParaRPr lang="en-US"/>
        </a:p>
      </c:txPr>
    </c:legend>
    <c:plotVisOnly val="1"/>
    <c:dispBlanksAs val="gap"/>
    <c:showDLblsOverMax val="0"/>
  </c:chart>
  <c:txPr>
    <a:bodyPr/>
    <a:lstStyle/>
    <a:p>
      <a:pPr>
        <a:defRPr sz="1100" b="1" i="0" baseline="0"/>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3.3: </a:t>
            </a:r>
            <a:r>
              <a:rPr lang="en-US" sz="2000">
                <a:solidFill>
                  <a:srgbClr val="D4C029"/>
                </a:solidFill>
                <a:latin typeface="Heuristica" panose="02020603050705020204" pitchFamily="18" charset="0"/>
              </a:rPr>
              <a:t>Insurance/ Takaful: Gross Claims</a:t>
            </a:r>
          </a:p>
        </c:rich>
      </c:tx>
      <c:layout>
        <c:manualLayout>
          <c:xMode val="edge"/>
          <c:yMode val="edge"/>
          <c:x val="0.27963677927355857"/>
          <c:y val="9.427609427609427E-3"/>
        </c:manualLayout>
      </c:layout>
      <c:overlay val="0"/>
    </c:title>
    <c:autoTitleDeleted val="0"/>
    <c:plotArea>
      <c:layout>
        <c:manualLayout>
          <c:layoutTarget val="inner"/>
          <c:xMode val="edge"/>
          <c:yMode val="edge"/>
          <c:x val="9.0392430784861574E-2"/>
          <c:y val="5.9920623558418831E-2"/>
          <c:w val="0.90161628947012729"/>
          <c:h val="0.78726159230096238"/>
        </c:manualLayout>
      </c:layout>
      <c:barChart>
        <c:barDir val="col"/>
        <c:grouping val="stacked"/>
        <c:varyColors val="0"/>
        <c:ser>
          <c:idx val="0"/>
          <c:order val="0"/>
          <c:tx>
            <c:strRef>
              <c:f>'3.3'!$D$4:$F$4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1-627B-4E58-B0B8-9A6F9EB296A2}"/>
                </c:ext>
              </c:extLst>
            </c:dLbl>
            <c:dLbl>
              <c:idx val="1"/>
              <c:delete val="1"/>
              <c:extLst>
                <c:ext xmlns:c15="http://schemas.microsoft.com/office/drawing/2012/chart" uri="{CE6537A1-D6FC-4f65-9D91-7224C49458BB}"/>
                <c:ext xmlns:c16="http://schemas.microsoft.com/office/drawing/2014/chart" uri="{C3380CC4-5D6E-409C-BE32-E72D297353CC}">
                  <c16:uniqueId val="{00000032-627B-4E58-B0B8-9A6F9EB296A2}"/>
                </c:ext>
              </c:extLst>
            </c:dLbl>
            <c:dLbl>
              <c:idx val="2"/>
              <c:delete val="1"/>
              <c:extLst>
                <c:ext xmlns:c15="http://schemas.microsoft.com/office/drawing/2012/chart" uri="{CE6537A1-D6FC-4f65-9D91-7224C49458BB}"/>
                <c:ext xmlns:c16="http://schemas.microsoft.com/office/drawing/2014/chart" uri="{C3380CC4-5D6E-409C-BE32-E72D297353CC}">
                  <c16:uniqueId val="{00000033-627B-4E58-B0B8-9A6F9EB296A2}"/>
                </c:ext>
              </c:extLst>
            </c:dLbl>
            <c:dLbl>
              <c:idx val="3"/>
              <c:delete val="1"/>
              <c:extLst>
                <c:ext xmlns:c15="http://schemas.microsoft.com/office/drawing/2012/chart" uri="{CE6537A1-D6FC-4f65-9D91-7224C49458BB}"/>
                <c:ext xmlns:c16="http://schemas.microsoft.com/office/drawing/2014/chart" uri="{C3380CC4-5D6E-409C-BE32-E72D297353CC}">
                  <c16:uniqueId val="{00000034-627B-4E58-B0B8-9A6F9EB296A2}"/>
                </c:ext>
              </c:extLst>
            </c:dLbl>
            <c:dLbl>
              <c:idx val="4"/>
              <c:delete val="1"/>
              <c:extLst>
                <c:ext xmlns:c15="http://schemas.microsoft.com/office/drawing/2012/chart" uri="{CE6537A1-D6FC-4f65-9D91-7224C49458BB}"/>
                <c:ext xmlns:c16="http://schemas.microsoft.com/office/drawing/2014/chart" uri="{C3380CC4-5D6E-409C-BE32-E72D297353CC}">
                  <c16:uniqueId val="{00000035-627B-4E58-B0B8-9A6F9EB296A2}"/>
                </c:ext>
              </c:extLst>
            </c:dLbl>
            <c:dLbl>
              <c:idx val="5"/>
              <c:delete val="1"/>
              <c:extLst>
                <c:ext xmlns:c15="http://schemas.microsoft.com/office/drawing/2012/chart" uri="{CE6537A1-D6FC-4f65-9D91-7224C49458BB}"/>
                <c:ext xmlns:c16="http://schemas.microsoft.com/office/drawing/2014/chart" uri="{C3380CC4-5D6E-409C-BE32-E72D297353CC}">
                  <c16:uniqueId val="{00000000-7135-4CEF-B63F-7B7EB48BF336}"/>
                </c:ext>
              </c:extLst>
            </c:dLbl>
            <c:dLbl>
              <c:idx val="6"/>
              <c:delete val="1"/>
              <c:extLst>
                <c:ext xmlns:c15="http://schemas.microsoft.com/office/drawing/2012/chart" uri="{CE6537A1-D6FC-4f65-9D91-7224C49458BB}"/>
                <c:ext xmlns:c16="http://schemas.microsoft.com/office/drawing/2014/chart" uri="{C3380CC4-5D6E-409C-BE32-E72D297353CC}">
                  <c16:uniqueId val="{00000036-627B-4E58-B0B8-9A6F9EB296A2}"/>
                </c:ext>
              </c:extLst>
            </c:dLbl>
            <c:dLbl>
              <c:idx val="7"/>
              <c:delete val="1"/>
              <c:extLst>
                <c:ext xmlns:c15="http://schemas.microsoft.com/office/drawing/2012/chart" uri="{CE6537A1-D6FC-4f65-9D91-7224C49458BB}"/>
                <c:ext xmlns:c16="http://schemas.microsoft.com/office/drawing/2014/chart" uri="{C3380CC4-5D6E-409C-BE32-E72D297353CC}">
                  <c16:uniqueId val="{00000037-627B-4E58-B0B8-9A6F9EB296A2}"/>
                </c:ext>
              </c:extLst>
            </c:dLbl>
            <c:dLbl>
              <c:idx val="8"/>
              <c:delete val="1"/>
              <c:extLst>
                <c:ext xmlns:c15="http://schemas.microsoft.com/office/drawing/2012/chart" uri="{CE6537A1-D6FC-4f65-9D91-7224C49458BB}"/>
                <c:ext xmlns:c16="http://schemas.microsoft.com/office/drawing/2014/chart" uri="{C3380CC4-5D6E-409C-BE32-E72D297353CC}">
                  <c16:uniqueId val="{00000002-26B2-4AD2-A615-E65B0CAC3771}"/>
                </c:ext>
              </c:extLst>
            </c:dLbl>
            <c:dLbl>
              <c:idx val="9"/>
              <c:delete val="1"/>
              <c:extLst>
                <c:ext xmlns:c15="http://schemas.microsoft.com/office/drawing/2012/chart" uri="{CE6537A1-D6FC-4f65-9D91-7224C49458BB}"/>
                <c:ext xmlns:c16="http://schemas.microsoft.com/office/drawing/2014/chart" uri="{C3380CC4-5D6E-409C-BE32-E72D297353CC}">
                  <c16:uniqueId val="{0000000E-C3BA-432F-9F30-F8504776DAB2}"/>
                </c:ext>
              </c:extLst>
            </c:dLbl>
            <c:dLbl>
              <c:idx val="10"/>
              <c:delete val="1"/>
              <c:extLst>
                <c:ext xmlns:c15="http://schemas.microsoft.com/office/drawing/2012/chart" uri="{CE6537A1-D6FC-4f65-9D91-7224C49458BB}"/>
                <c:ext xmlns:c16="http://schemas.microsoft.com/office/drawing/2014/chart" uri="{C3380CC4-5D6E-409C-BE32-E72D297353CC}">
                  <c16:uniqueId val="{0000000E-2C01-4045-B743-43E2B3398FEF}"/>
                </c:ext>
              </c:extLst>
            </c:dLbl>
            <c:dLbl>
              <c:idx val="11"/>
              <c:delete val="1"/>
              <c:extLst>
                <c:ext xmlns:c15="http://schemas.microsoft.com/office/drawing/2012/chart" uri="{CE6537A1-D6FC-4f65-9D91-7224C49458BB}"/>
                <c:ext xmlns:c16="http://schemas.microsoft.com/office/drawing/2014/chart" uri="{C3380CC4-5D6E-409C-BE32-E72D297353CC}">
                  <c16:uniqueId val="{0000000E-58A4-413F-A56C-AF5B5E1AA6C9}"/>
                </c:ext>
              </c:extLst>
            </c:dLbl>
            <c:dLbl>
              <c:idx val="12"/>
              <c:delete val="1"/>
              <c:extLst>
                <c:ext xmlns:c15="http://schemas.microsoft.com/office/drawing/2012/chart" uri="{CE6537A1-D6FC-4f65-9D91-7224C49458BB}"/>
                <c:ext xmlns:c16="http://schemas.microsoft.com/office/drawing/2014/chart" uri="{C3380CC4-5D6E-409C-BE32-E72D297353CC}">
                  <c16:uniqueId val="{0000000C-4661-4DE3-9AE3-BEB6CD8533C7}"/>
                </c:ext>
              </c:extLst>
            </c:dLbl>
            <c:dLbl>
              <c:idx val="13"/>
              <c:delete val="1"/>
              <c:extLst>
                <c:ext xmlns:c15="http://schemas.microsoft.com/office/drawing/2012/chart" uri="{CE6537A1-D6FC-4f65-9D91-7224C49458BB}"/>
                <c:ext xmlns:c16="http://schemas.microsoft.com/office/drawing/2014/chart" uri="{C3380CC4-5D6E-409C-BE32-E72D297353CC}">
                  <c16:uniqueId val="{00000009-3386-4585-8DFF-9EC0528BA8AC}"/>
                </c:ext>
              </c:extLst>
            </c:dLbl>
            <c:dLbl>
              <c:idx val="14"/>
              <c:delete val="1"/>
              <c:extLst>
                <c:ext xmlns:c15="http://schemas.microsoft.com/office/drawing/2012/chart" uri="{CE6537A1-D6FC-4f65-9D91-7224C49458BB}"/>
                <c:ext xmlns:c16="http://schemas.microsoft.com/office/drawing/2014/chart" uri="{C3380CC4-5D6E-409C-BE32-E72D297353CC}">
                  <c16:uniqueId val="{00000008-75FA-464D-B7F7-86679D1E3521}"/>
                </c:ext>
              </c:extLst>
            </c:dLbl>
            <c:dLbl>
              <c:idx val="15"/>
              <c:delete val="1"/>
              <c:extLst>
                <c:ext xmlns:c15="http://schemas.microsoft.com/office/drawing/2012/chart" uri="{CE6537A1-D6FC-4f65-9D91-7224C49458BB}"/>
                <c:ext xmlns:c16="http://schemas.microsoft.com/office/drawing/2014/chart" uri="{C3380CC4-5D6E-409C-BE32-E72D297353CC}">
                  <c16:uniqueId val="{00000015-DD50-4D65-B5E3-D60333651AB9}"/>
                </c:ext>
              </c:extLst>
            </c:dLbl>
            <c:dLbl>
              <c:idx val="16"/>
              <c:delete val="1"/>
              <c:extLst>
                <c:ext xmlns:c15="http://schemas.microsoft.com/office/drawing/2012/chart" uri="{CE6537A1-D6FC-4f65-9D91-7224C49458BB}"/>
                <c:ext xmlns:c16="http://schemas.microsoft.com/office/drawing/2014/chart" uri="{C3380CC4-5D6E-409C-BE32-E72D297353CC}">
                  <c16:uniqueId val="{00000015-D1FC-467E-B450-59DB74233CA4}"/>
                </c:ext>
              </c:extLst>
            </c:dLbl>
            <c:dLbl>
              <c:idx val="17"/>
              <c:delete val="1"/>
              <c:extLst>
                <c:ext xmlns:c15="http://schemas.microsoft.com/office/drawing/2012/chart" uri="{CE6537A1-D6FC-4f65-9D91-7224C49458BB}"/>
                <c:ext xmlns:c16="http://schemas.microsoft.com/office/drawing/2014/chart" uri="{C3380CC4-5D6E-409C-BE32-E72D297353CC}">
                  <c16:uniqueId val="{00000015-2240-46EA-870F-0C65642C2F88}"/>
                </c:ext>
              </c:extLst>
            </c:dLbl>
            <c:dLbl>
              <c:idx val="18"/>
              <c:delete val="1"/>
              <c:extLst>
                <c:ext xmlns:c15="http://schemas.microsoft.com/office/drawing/2012/chart" uri="{CE6537A1-D6FC-4f65-9D91-7224C49458BB}"/>
                <c:ext xmlns:c16="http://schemas.microsoft.com/office/drawing/2014/chart" uri="{C3380CC4-5D6E-409C-BE32-E72D297353CC}">
                  <c16:uniqueId val="{00000014-E132-40F1-A8D0-ED77B12FE91D}"/>
                </c:ext>
              </c:extLst>
            </c:dLbl>
            <c:dLbl>
              <c:idx val="19"/>
              <c:delete val="1"/>
              <c:extLst>
                <c:ext xmlns:c15="http://schemas.microsoft.com/office/drawing/2012/chart" uri="{CE6537A1-D6FC-4f65-9D91-7224C49458BB}"/>
                <c:ext xmlns:c16="http://schemas.microsoft.com/office/drawing/2014/chart" uri="{C3380CC4-5D6E-409C-BE32-E72D297353CC}">
                  <c16:uniqueId val="{00000022-5B3A-48E4-BFE3-8F1D73041ADA}"/>
                </c:ext>
              </c:extLst>
            </c:dLbl>
            <c:dLbl>
              <c:idx val="20"/>
              <c:delete val="1"/>
              <c:extLst>
                <c:ext xmlns:c15="http://schemas.microsoft.com/office/drawing/2012/chart" uri="{CE6537A1-D6FC-4f65-9D91-7224C49458BB}"/>
                <c:ext xmlns:c16="http://schemas.microsoft.com/office/drawing/2014/chart" uri="{C3380CC4-5D6E-409C-BE32-E72D297353CC}">
                  <c16:uniqueId val="{00000020-9CB1-4394-895A-35525C0426E0}"/>
                </c:ext>
              </c:extLst>
            </c:dLbl>
            <c:dLbl>
              <c:idx val="21"/>
              <c:delete val="1"/>
              <c:extLst>
                <c:ext xmlns:c15="http://schemas.microsoft.com/office/drawing/2012/chart" uri="{CE6537A1-D6FC-4f65-9D91-7224C49458BB}"/>
                <c:ext xmlns:c16="http://schemas.microsoft.com/office/drawing/2014/chart" uri="{C3380CC4-5D6E-409C-BE32-E72D297353CC}">
                  <c16:uniqueId val="{00000021-C0CF-4264-8936-E29CFD0B6FCA}"/>
                </c:ext>
              </c:extLst>
            </c:dLbl>
            <c:dLbl>
              <c:idx val="22"/>
              <c:delete val="1"/>
              <c:extLst>
                <c:ext xmlns:c15="http://schemas.microsoft.com/office/drawing/2012/chart" uri="{CE6537A1-D6FC-4f65-9D91-7224C49458BB}"/>
                <c:ext xmlns:c16="http://schemas.microsoft.com/office/drawing/2014/chart" uri="{C3380CC4-5D6E-409C-BE32-E72D297353CC}">
                  <c16:uniqueId val="{00000022-985C-43A3-8964-C79071A87427}"/>
                </c:ext>
              </c:extLst>
            </c:dLbl>
            <c:dLbl>
              <c:idx val="23"/>
              <c:delete val="1"/>
              <c:extLst>
                <c:ext xmlns:c15="http://schemas.microsoft.com/office/drawing/2012/chart" uri="{CE6537A1-D6FC-4f65-9D91-7224C49458BB}"/>
                <c:ext xmlns:c16="http://schemas.microsoft.com/office/drawing/2014/chart" uri="{C3380CC4-5D6E-409C-BE32-E72D297353CC}">
                  <c16:uniqueId val="{00000022-E2C6-41C9-B851-B8197CEB208E}"/>
                </c:ext>
              </c:extLst>
            </c:dLbl>
            <c:dLbl>
              <c:idx val="24"/>
              <c:delete val="1"/>
              <c:extLst>
                <c:ext xmlns:c15="http://schemas.microsoft.com/office/drawing/2012/chart" uri="{CE6537A1-D6FC-4f65-9D91-7224C49458BB}"/>
                <c:ext xmlns:c16="http://schemas.microsoft.com/office/drawing/2014/chart" uri="{C3380CC4-5D6E-409C-BE32-E72D297353CC}">
                  <c16:uniqueId val="{00000023-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2-CB39-49CF-BD0A-D48C7D754441}"/>
                </c:ext>
              </c:extLst>
            </c:dLbl>
            <c:dLbl>
              <c:idx val="26"/>
              <c:delete val="1"/>
              <c:extLst>
                <c:ext xmlns:c15="http://schemas.microsoft.com/office/drawing/2012/chart" uri="{CE6537A1-D6FC-4f65-9D91-7224C49458BB}"/>
                <c:ext xmlns:c16="http://schemas.microsoft.com/office/drawing/2014/chart" uri="{C3380CC4-5D6E-409C-BE32-E72D297353CC}">
                  <c16:uniqueId val="{00000022-87C7-4FAD-AA4B-AE0BEFC0F95E}"/>
                </c:ext>
              </c:extLst>
            </c:dLbl>
            <c:dLbl>
              <c:idx val="27"/>
              <c:delete val="1"/>
              <c:extLst>
                <c:ext xmlns:c15="http://schemas.microsoft.com/office/drawing/2012/chart" uri="{CE6537A1-D6FC-4f65-9D91-7224C49458BB}"/>
                <c:ext xmlns:c16="http://schemas.microsoft.com/office/drawing/2014/chart" uri="{C3380CC4-5D6E-409C-BE32-E72D297353CC}">
                  <c16:uniqueId val="{00000023-3EC5-4E80-876F-415F9BB6F3CF}"/>
                </c:ext>
              </c:extLst>
            </c:dLbl>
            <c:dLbl>
              <c:idx val="28"/>
              <c:delete val="1"/>
              <c:extLst>
                <c:ext xmlns:c15="http://schemas.microsoft.com/office/drawing/2012/chart" uri="{CE6537A1-D6FC-4f65-9D91-7224C49458BB}"/>
                <c:ext xmlns:c16="http://schemas.microsoft.com/office/drawing/2014/chart" uri="{C3380CC4-5D6E-409C-BE32-E72D297353CC}">
                  <c16:uniqueId val="{00000020-9811-4214-9E94-6AB454351A33}"/>
                </c:ext>
              </c:extLst>
            </c:dLbl>
            <c:dLbl>
              <c:idx val="29"/>
              <c:delete val="1"/>
              <c:extLst>
                <c:ext xmlns:c15="http://schemas.microsoft.com/office/drawing/2012/chart" uri="{CE6537A1-D6FC-4f65-9D91-7224C49458BB}"/>
                <c:ext xmlns:c16="http://schemas.microsoft.com/office/drawing/2014/chart" uri="{C3380CC4-5D6E-409C-BE32-E72D297353CC}">
                  <c16:uniqueId val="{00000020-0C81-482E-9EB4-BA67FE6CB365}"/>
                </c:ext>
              </c:extLst>
            </c:dLbl>
            <c:dLbl>
              <c:idx val="30"/>
              <c:delete val="1"/>
              <c:extLst>
                <c:ext xmlns:c15="http://schemas.microsoft.com/office/drawing/2012/chart" uri="{CE6537A1-D6FC-4f65-9D91-7224C49458BB}"/>
                <c:ext xmlns:c16="http://schemas.microsoft.com/office/drawing/2014/chart" uri="{C3380CC4-5D6E-409C-BE32-E72D297353CC}">
                  <c16:uniqueId val="{00000022-1743-455A-8423-CED22719992D}"/>
                </c:ext>
              </c:extLst>
            </c:dLbl>
            <c:dLbl>
              <c:idx val="31"/>
              <c:delete val="1"/>
              <c:extLst>
                <c:ext xmlns:c15="http://schemas.microsoft.com/office/drawing/2012/chart" uri="{CE6537A1-D6FC-4f65-9D91-7224C49458BB}"/>
                <c:ext xmlns:c16="http://schemas.microsoft.com/office/drawing/2014/chart" uri="{C3380CC4-5D6E-409C-BE32-E72D297353CC}">
                  <c16:uniqueId val="{00000022-7750-4B10-BC19-C241BB2EF2FD}"/>
                </c:ext>
              </c:extLst>
            </c:dLbl>
            <c:dLbl>
              <c:idx val="32"/>
              <c:delete val="1"/>
              <c:extLst>
                <c:ext xmlns:c15="http://schemas.microsoft.com/office/drawing/2012/chart" uri="{CE6537A1-D6FC-4f65-9D91-7224C49458BB}"/>
                <c:ext xmlns:c16="http://schemas.microsoft.com/office/drawing/2014/chart" uri="{C3380CC4-5D6E-409C-BE32-E72D297353CC}">
                  <c16:uniqueId val="{00000021-545A-477D-8FCE-FC45717F0A66}"/>
                </c:ext>
              </c:extLst>
            </c:dLbl>
            <c:dLbl>
              <c:idx val="33"/>
              <c:delete val="1"/>
              <c:extLst>
                <c:ext xmlns:c15="http://schemas.microsoft.com/office/drawing/2012/chart" uri="{CE6537A1-D6FC-4f65-9D91-7224C49458BB}"/>
                <c:ext xmlns:c16="http://schemas.microsoft.com/office/drawing/2014/chart" uri="{C3380CC4-5D6E-409C-BE32-E72D297353CC}">
                  <c16:uniqueId val="{00000020-37E2-42C8-A0EA-19D278B4EA83}"/>
                </c:ext>
              </c:extLst>
            </c:dLbl>
            <c:dLbl>
              <c:idx val="34"/>
              <c:delete val="1"/>
              <c:extLst>
                <c:ext xmlns:c15="http://schemas.microsoft.com/office/drawing/2012/chart" uri="{CE6537A1-D6FC-4f65-9D91-7224C49458BB}"/>
                <c:ext xmlns:c16="http://schemas.microsoft.com/office/drawing/2014/chart" uri="{C3380CC4-5D6E-409C-BE32-E72D297353CC}">
                  <c16:uniqueId val="{00000020-D5EA-4BA3-B97D-9BAB4F235A1B}"/>
                </c:ext>
              </c:extLst>
            </c:dLbl>
            <c:dLbl>
              <c:idx val="35"/>
              <c:delete val="1"/>
              <c:extLst>
                <c:ext xmlns:c15="http://schemas.microsoft.com/office/drawing/2012/chart" uri="{CE6537A1-D6FC-4f65-9D91-7224C49458BB}"/>
                <c:ext xmlns:c16="http://schemas.microsoft.com/office/drawing/2014/chart" uri="{C3380CC4-5D6E-409C-BE32-E72D297353CC}">
                  <c16:uniqueId val="{00000022-04F2-4978-86C5-4777139F75C8}"/>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'3.3'!$A$14:$B$66</c15:sqref>
                  </c15:fullRef>
                </c:ext>
              </c:extLst>
              <c:f>'3.3'!$A$30:$B$66</c:f>
              <c:multiLvlStrCache>
                <c:ptCount val="37"/>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lvl>
                <c:lvl>
                  <c:pt idx="0">
                    <c:v>2017</c:v>
                  </c:pt>
                  <c:pt idx="4">
                    <c:v>2018</c:v>
                  </c:pt>
                  <c:pt idx="8">
                    <c:v>2019</c:v>
                  </c:pt>
                  <c:pt idx="12">
                    <c:v>2020</c:v>
                  </c:pt>
                  <c:pt idx="16">
                    <c:v>2021</c:v>
                  </c:pt>
                  <c:pt idx="20">
                    <c:v>2022</c:v>
                  </c:pt>
                  <c:pt idx="24">
                    <c:v>2023</c:v>
                  </c:pt>
                  <c:pt idx="28">
                    <c:v>2024</c:v>
                  </c:pt>
                  <c:pt idx="32">
                    <c:v>2025</c:v>
                  </c:pt>
                  <c:pt idx="36">
                    <c:v>2026</c:v>
                  </c:pt>
                </c:lvl>
              </c:multiLvlStrCache>
            </c:multiLvlStrRef>
          </c:cat>
          <c:val>
            <c:numRef>
              <c:extLst>
                <c:ext xmlns:c15="http://schemas.microsoft.com/office/drawing/2012/chart" uri="{02D57815-91ED-43cb-92C2-25804820EDAC}">
                  <c15:fullRef>
                    <c15:sqref>'3.3'!$D$14:$D$66</c15:sqref>
                  </c15:fullRef>
                </c:ext>
              </c:extLst>
              <c:f>'3.3'!$D$30:$D$66</c:f>
              <c:numCache>
                <c:formatCode>#,##0.00</c:formatCode>
                <c:ptCount val="37"/>
                <c:pt idx="0">
                  <c:v>19.759999999999998</c:v>
                </c:pt>
                <c:pt idx="1">
                  <c:v>19.410000000000004</c:v>
                </c:pt>
                <c:pt idx="2">
                  <c:v>18.84</c:v>
                </c:pt>
                <c:pt idx="3">
                  <c:v>18.810000000000002</c:v>
                </c:pt>
                <c:pt idx="4">
                  <c:v>15.27</c:v>
                </c:pt>
                <c:pt idx="5">
                  <c:v>17.169999999999998</c:v>
                </c:pt>
                <c:pt idx="6">
                  <c:v>16.95</c:v>
                </c:pt>
                <c:pt idx="7">
                  <c:v>16.580000000000002</c:v>
                </c:pt>
                <c:pt idx="8">
                  <c:v>15.149999999999999</c:v>
                </c:pt>
                <c:pt idx="9">
                  <c:v>20.83</c:v>
                </c:pt>
                <c:pt idx="10">
                  <c:v>21.19</c:v>
                </c:pt>
                <c:pt idx="11">
                  <c:v>25.5</c:v>
                </c:pt>
                <c:pt idx="12">
                  <c:v>17.72</c:v>
                </c:pt>
                <c:pt idx="13">
                  <c:v>18.399999999999999</c:v>
                </c:pt>
                <c:pt idx="14">
                  <c:v>25.41</c:v>
                </c:pt>
                <c:pt idx="15">
                  <c:v>19.670000000000002</c:v>
                </c:pt>
                <c:pt idx="16">
                  <c:v>16.16</c:v>
                </c:pt>
                <c:pt idx="17">
                  <c:v>16.060000000000002</c:v>
                </c:pt>
                <c:pt idx="18">
                  <c:v>16.13</c:v>
                </c:pt>
                <c:pt idx="19">
                  <c:v>17.05</c:v>
                </c:pt>
                <c:pt idx="20">
                  <c:v>44.81</c:v>
                </c:pt>
                <c:pt idx="21">
                  <c:v>14.48</c:v>
                </c:pt>
                <c:pt idx="22">
                  <c:v>14.65</c:v>
                </c:pt>
                <c:pt idx="23">
                  <c:v>17.38</c:v>
                </c:pt>
                <c:pt idx="24">
                  <c:v>20.89</c:v>
                </c:pt>
                <c:pt idx="25">
                  <c:v>19.571999999999999</c:v>
                </c:pt>
                <c:pt idx="26">
                  <c:v>33.71</c:v>
                </c:pt>
                <c:pt idx="27">
                  <c:v>17.100000000000001</c:v>
                </c:pt>
                <c:pt idx="28">
                  <c:v>19.240000000000002</c:v>
                </c:pt>
                <c:pt idx="29">
                  <c:v>18.93</c:v>
                </c:pt>
                <c:pt idx="30">
                  <c:v>17.18</c:v>
                </c:pt>
                <c:pt idx="31">
                  <c:v>7.5100000000000025</c:v>
                </c:pt>
                <c:pt idx="32">
                  <c:v>22.719000000000001</c:v>
                </c:pt>
                <c:pt idx="33">
                  <c:v>13.06</c:v>
                </c:pt>
                <c:pt idx="34">
                  <c:v>30.687999999999999</c:v>
                </c:pt>
                <c:pt idx="35">
                  <c:v>20.555</c:v>
                </c:pt>
                <c:pt idx="36">
                  <c:v>20.957999999999998</c:v>
                </c:pt>
              </c:numCache>
            </c:numRef>
          </c:val>
          <c:extLst>
            <c:ext xmlns:c15="http://schemas.microsoft.com/office/drawing/2012/chart" uri="{02D57815-91ED-43cb-92C2-25804820EDAC}">
              <c15:categoryFilterExceptions>
                <c15:categoryFilterException>
                  <c15:sqref>'3.3'!$D$18</c15:sqref>
                  <c15:dLbl>
                    <c:idx val="-1"/>
                    <c:delete val="1"/>
                    <c:extLst>
                      <c:ext uri="{CE6537A1-D6FC-4f65-9D91-7224C49458BB}"/>
                      <c:ext xmlns:c16="http://schemas.microsoft.com/office/drawing/2014/chart" uri="{C3380CC4-5D6E-409C-BE32-E72D297353CC}">
                        <c16:uniqueId val="{00000000-BA68-40D8-B94F-DEC2782F952F}"/>
                      </c:ext>
                    </c:extLst>
                  </c15:dLbl>
                </c15:categoryFilterException>
                <c15:categoryFilterException>
                  <c15:sqref>'3.3'!$D$19</c15:sqref>
                  <c15:dLbl>
                    <c:idx val="-1"/>
                    <c:delete val="1"/>
                    <c:extLst>
                      <c:ext uri="{CE6537A1-D6FC-4f65-9D91-7224C49458BB}"/>
                      <c:ext xmlns:c16="http://schemas.microsoft.com/office/drawing/2014/chart" uri="{C3380CC4-5D6E-409C-BE32-E72D297353CC}">
                        <c16:uniqueId val="{00000001-BA68-40D8-B94F-DEC2782F952F}"/>
                      </c:ext>
                    </c:extLst>
                  </c15:dLbl>
                </c15:categoryFilterException>
                <c15:categoryFilterException>
                  <c15:sqref>'3.3'!$D$20</c15:sqref>
                  <c15:dLbl>
                    <c:idx val="-1"/>
                    <c:delete val="1"/>
                    <c:extLst>
                      <c:ext uri="{CE6537A1-D6FC-4f65-9D91-7224C49458BB}"/>
                      <c:ext xmlns:c16="http://schemas.microsoft.com/office/drawing/2014/chart" uri="{C3380CC4-5D6E-409C-BE32-E72D297353CC}">
                        <c16:uniqueId val="{00000002-BA68-40D8-B94F-DEC2782F952F}"/>
                      </c:ext>
                    </c:extLst>
                  </c15:dLbl>
                </c15:categoryFilterException>
                <c15:categoryFilterException>
                  <c15:sqref>'3.3'!$D$21</c15:sqref>
                  <c15:dLbl>
                    <c:idx val="-1"/>
                    <c:delete val="1"/>
                    <c:extLst>
                      <c:ext uri="{CE6537A1-D6FC-4f65-9D91-7224C49458BB}"/>
                      <c:ext xmlns:c16="http://schemas.microsoft.com/office/drawing/2014/chart" uri="{C3380CC4-5D6E-409C-BE32-E72D297353CC}">
                        <c16:uniqueId val="{00000003-BA68-40D8-B94F-DEC2782F952F}"/>
                      </c:ext>
                    </c:extLst>
                  </c15:dLbl>
                </c15:categoryFilterException>
                <c15:categoryFilterException>
                  <c15:sqref>'3.3'!$D$22</c15:sqref>
                  <c15:dLbl>
                    <c:idx val="-1"/>
                    <c:delete val="1"/>
                    <c:extLst>
                      <c:ext uri="{CE6537A1-D6FC-4f65-9D91-7224C49458BB}"/>
                      <c:ext xmlns:c16="http://schemas.microsoft.com/office/drawing/2014/chart" uri="{C3380CC4-5D6E-409C-BE32-E72D297353CC}">
                        <c16:uniqueId val="{00000004-BA68-40D8-B94F-DEC2782F952F}"/>
                      </c:ext>
                    </c:extLst>
                  </c15:dLbl>
                </c15:categoryFilterException>
                <c15:categoryFilterException>
                  <c15:sqref>'3.3'!$D$23</c15:sqref>
                  <c15:dLbl>
                    <c:idx val="-1"/>
                    <c:delete val="1"/>
                    <c:extLst>
                      <c:ext uri="{CE6537A1-D6FC-4f65-9D91-7224C49458BB}"/>
                      <c:ext xmlns:c16="http://schemas.microsoft.com/office/drawing/2014/chart" uri="{C3380CC4-5D6E-409C-BE32-E72D297353CC}">
                        <c16:uniqueId val="{00000005-BA68-40D8-B94F-DEC2782F952F}"/>
                      </c:ext>
                    </c:extLst>
                  </c15:dLbl>
                </c15:categoryFilterException>
                <c15:categoryFilterException>
                  <c15:sqref>'3.3'!$D$24</c15:sqref>
                  <c15:dLbl>
                    <c:idx val="-1"/>
                    <c:delete val="1"/>
                    <c:extLst>
                      <c:ext uri="{CE6537A1-D6FC-4f65-9D91-7224C49458BB}"/>
                      <c:ext xmlns:c16="http://schemas.microsoft.com/office/drawing/2014/chart" uri="{C3380CC4-5D6E-409C-BE32-E72D297353CC}">
                        <c16:uniqueId val="{00000006-BA68-40D8-B94F-DEC2782F952F}"/>
                      </c:ext>
                    </c:extLst>
                  </c15:dLbl>
                </c15:categoryFilterException>
                <c15:categoryFilterException>
                  <c15:sqref>'3.3'!$D$25</c15:sqref>
                  <c15:dLbl>
                    <c:idx val="-1"/>
                    <c:delete val="1"/>
                    <c:extLst>
                      <c:ext uri="{CE6537A1-D6FC-4f65-9D91-7224C49458BB}"/>
                      <c:ext xmlns:c16="http://schemas.microsoft.com/office/drawing/2014/chart" uri="{C3380CC4-5D6E-409C-BE32-E72D297353CC}">
                        <c16:uniqueId val="{00000007-BA68-40D8-B94F-DEC2782F952F}"/>
                      </c:ext>
                    </c:extLst>
                  </c15:dLbl>
                </c15:categoryFilterException>
                <c15:categoryFilterException>
                  <c15:sqref>'3.3'!$D$26</c15:sqref>
                  <c15:dLbl>
                    <c:idx val="-1"/>
                    <c:delete val="1"/>
                    <c:extLst>
                      <c:ext uri="{CE6537A1-D6FC-4f65-9D91-7224C49458BB}"/>
                      <c:ext xmlns:c16="http://schemas.microsoft.com/office/drawing/2014/chart" uri="{C3380CC4-5D6E-409C-BE32-E72D297353CC}">
                        <c16:uniqueId val="{00000008-BA68-40D8-B94F-DEC2782F952F}"/>
                      </c:ext>
                    </c:extLst>
                  </c15:dLbl>
                </c15:categoryFilterException>
                <c15:categoryFilterException>
                  <c15:sqref>'3.3'!$D$27</c15:sqref>
                  <c15:dLbl>
                    <c:idx val="-1"/>
                    <c:delete val="1"/>
                    <c:extLst>
                      <c:ext uri="{CE6537A1-D6FC-4f65-9D91-7224C49458BB}"/>
                      <c:ext xmlns:c16="http://schemas.microsoft.com/office/drawing/2014/chart" uri="{C3380CC4-5D6E-409C-BE32-E72D297353CC}">
                        <c16:uniqueId val="{00000009-BA68-40D8-B94F-DEC2782F952F}"/>
                      </c:ext>
                    </c:extLst>
                  </c15:dLbl>
                </c15:categoryFilterException>
                <c15:categoryFilterException>
                  <c15:sqref>'3.3'!$D$28</c15:sqref>
                  <c15:dLbl>
                    <c:idx val="-1"/>
                    <c:delete val="1"/>
                    <c:extLst>
                      <c:ext uri="{CE6537A1-D6FC-4f65-9D91-7224C49458BB}"/>
                      <c:ext xmlns:c16="http://schemas.microsoft.com/office/drawing/2014/chart" uri="{C3380CC4-5D6E-409C-BE32-E72D297353CC}">
                        <c16:uniqueId val="{0000000A-BA68-40D8-B94F-DEC2782F952F}"/>
                      </c:ext>
                    </c:extLst>
                  </c15:dLbl>
                </c15:categoryFilterException>
                <c15:categoryFilterException>
                  <c15:sqref>'3.3'!$D$29</c15:sqref>
                  <c15:dLbl>
                    <c:idx val="-1"/>
                    <c:delete val="1"/>
                    <c:extLst>
                      <c:ext uri="{CE6537A1-D6FC-4f65-9D91-7224C49458BB}"/>
                      <c:ext xmlns:c16="http://schemas.microsoft.com/office/drawing/2014/chart" uri="{C3380CC4-5D6E-409C-BE32-E72D297353CC}">
                        <c16:uniqueId val="{0000000B-BA68-40D8-B94F-DEC2782F952F}"/>
                      </c:ext>
                    </c:extLst>
                  </c15:dLbl>
                </c15:categoryFilterException>
              </c15:categoryFilterExceptions>
            </c:ext>
            <c:ext xmlns:c16="http://schemas.microsoft.com/office/drawing/2014/chart" uri="{C3380CC4-5D6E-409C-BE32-E72D297353CC}">
              <c16:uniqueId val="{00000001-7135-4CEF-B63F-7B7EB48BF336}"/>
            </c:ext>
          </c:extLst>
        </c:ser>
        <c:ser>
          <c:idx val="1"/>
          <c:order val="1"/>
          <c:tx>
            <c:strRef>
              <c:f>'3.3'!$G$4:$I$4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2-3386-4585-8DFF-9EC0528BA8AC}"/>
                </c:ext>
              </c:extLst>
            </c:dLbl>
            <c:dLbl>
              <c:idx val="1"/>
              <c:delete val="1"/>
              <c:extLst>
                <c:ext xmlns:c15="http://schemas.microsoft.com/office/drawing/2012/chart" uri="{CE6537A1-D6FC-4f65-9D91-7224C49458BB}"/>
                <c:ext xmlns:c16="http://schemas.microsoft.com/office/drawing/2014/chart" uri="{C3380CC4-5D6E-409C-BE32-E72D297353CC}">
                  <c16:uniqueId val="{00000013-3386-4585-8DFF-9EC0528BA8AC}"/>
                </c:ext>
              </c:extLst>
            </c:dLbl>
            <c:dLbl>
              <c:idx val="2"/>
              <c:delete val="1"/>
              <c:extLst>
                <c:ext xmlns:c15="http://schemas.microsoft.com/office/drawing/2012/chart" uri="{CE6537A1-D6FC-4f65-9D91-7224C49458BB}"/>
                <c:ext xmlns:c16="http://schemas.microsoft.com/office/drawing/2014/chart" uri="{C3380CC4-5D6E-409C-BE32-E72D297353CC}">
                  <c16:uniqueId val="{00000014-3386-4585-8DFF-9EC0528BA8AC}"/>
                </c:ext>
              </c:extLst>
            </c:dLbl>
            <c:dLbl>
              <c:idx val="3"/>
              <c:delete val="1"/>
              <c:extLst>
                <c:ext xmlns:c15="http://schemas.microsoft.com/office/drawing/2012/chart" uri="{CE6537A1-D6FC-4f65-9D91-7224C49458BB}"/>
                <c:ext xmlns:c16="http://schemas.microsoft.com/office/drawing/2014/chart" uri="{C3380CC4-5D6E-409C-BE32-E72D297353CC}">
                  <c16:uniqueId val="{00000015-3386-4585-8DFF-9EC0528BA8AC}"/>
                </c:ext>
              </c:extLst>
            </c:dLbl>
            <c:dLbl>
              <c:idx val="4"/>
              <c:delete val="1"/>
              <c:extLst>
                <c:ext xmlns:c15="http://schemas.microsoft.com/office/drawing/2012/chart" uri="{CE6537A1-D6FC-4f65-9D91-7224C49458BB}"/>
                <c:ext xmlns:c16="http://schemas.microsoft.com/office/drawing/2014/chart" uri="{C3380CC4-5D6E-409C-BE32-E72D297353CC}">
                  <c16:uniqueId val="{00000016-3386-4585-8DFF-9EC0528BA8AC}"/>
                </c:ext>
              </c:extLst>
            </c:dLbl>
            <c:dLbl>
              <c:idx val="5"/>
              <c:delete val="1"/>
              <c:extLst>
                <c:ext xmlns:c15="http://schemas.microsoft.com/office/drawing/2012/chart" uri="{CE6537A1-D6FC-4f65-9D91-7224C49458BB}"/>
                <c:ext xmlns:c16="http://schemas.microsoft.com/office/drawing/2014/chart" uri="{C3380CC4-5D6E-409C-BE32-E72D297353CC}">
                  <c16:uniqueId val="{00000017-3386-4585-8DFF-9EC0528BA8AC}"/>
                </c:ext>
              </c:extLst>
            </c:dLbl>
            <c:dLbl>
              <c:idx val="6"/>
              <c:delete val="1"/>
              <c:extLst>
                <c:ext xmlns:c15="http://schemas.microsoft.com/office/drawing/2012/chart" uri="{CE6537A1-D6FC-4f65-9D91-7224C49458BB}"/>
                <c:ext xmlns:c16="http://schemas.microsoft.com/office/drawing/2014/chart" uri="{C3380CC4-5D6E-409C-BE32-E72D297353CC}">
                  <c16:uniqueId val="{00000018-3386-4585-8DFF-9EC0528BA8AC}"/>
                </c:ext>
              </c:extLst>
            </c:dLbl>
            <c:dLbl>
              <c:idx val="7"/>
              <c:delete val="1"/>
              <c:extLst>
                <c:ext xmlns:c15="http://schemas.microsoft.com/office/drawing/2012/chart" uri="{CE6537A1-D6FC-4f65-9D91-7224C49458BB}"/>
                <c:ext xmlns:c16="http://schemas.microsoft.com/office/drawing/2014/chart" uri="{C3380CC4-5D6E-409C-BE32-E72D297353CC}">
                  <c16:uniqueId val="{00000019-3386-4585-8DFF-9EC0528BA8AC}"/>
                </c:ext>
              </c:extLst>
            </c:dLbl>
            <c:dLbl>
              <c:idx val="8"/>
              <c:delete val="1"/>
              <c:extLst>
                <c:ext xmlns:c15="http://schemas.microsoft.com/office/drawing/2012/chart" uri="{CE6537A1-D6FC-4f65-9D91-7224C49458BB}"/>
                <c:ext xmlns:c16="http://schemas.microsoft.com/office/drawing/2014/chart" uri="{C3380CC4-5D6E-409C-BE32-E72D297353CC}">
                  <c16:uniqueId val="{0000001A-3386-4585-8DFF-9EC0528BA8AC}"/>
                </c:ext>
              </c:extLst>
            </c:dLbl>
            <c:dLbl>
              <c:idx val="9"/>
              <c:delete val="1"/>
              <c:extLst>
                <c:ext xmlns:c15="http://schemas.microsoft.com/office/drawing/2012/chart" uri="{CE6537A1-D6FC-4f65-9D91-7224C49458BB}"/>
                <c:ext xmlns:c16="http://schemas.microsoft.com/office/drawing/2014/chart" uri="{C3380CC4-5D6E-409C-BE32-E72D297353CC}">
                  <c16:uniqueId val="{0000001B-3386-4585-8DFF-9EC0528BA8AC}"/>
                </c:ext>
              </c:extLst>
            </c:dLbl>
            <c:dLbl>
              <c:idx val="10"/>
              <c:delete val="1"/>
              <c:extLst>
                <c:ext xmlns:c15="http://schemas.microsoft.com/office/drawing/2012/chart" uri="{CE6537A1-D6FC-4f65-9D91-7224C49458BB}"/>
                <c:ext xmlns:c16="http://schemas.microsoft.com/office/drawing/2014/chart" uri="{C3380CC4-5D6E-409C-BE32-E72D297353CC}">
                  <c16:uniqueId val="{0000001C-3386-4585-8DFF-9EC0528BA8AC}"/>
                </c:ext>
              </c:extLst>
            </c:dLbl>
            <c:dLbl>
              <c:idx val="11"/>
              <c:delete val="1"/>
              <c:extLst>
                <c:ext xmlns:c15="http://schemas.microsoft.com/office/drawing/2012/chart" uri="{CE6537A1-D6FC-4f65-9D91-7224C49458BB}"/>
                <c:ext xmlns:c16="http://schemas.microsoft.com/office/drawing/2014/chart" uri="{C3380CC4-5D6E-409C-BE32-E72D297353CC}">
                  <c16:uniqueId val="{0000001D-3386-4585-8DFF-9EC0528BA8AC}"/>
                </c:ext>
              </c:extLst>
            </c:dLbl>
            <c:dLbl>
              <c:idx val="12"/>
              <c:delete val="1"/>
              <c:extLst>
                <c:ext xmlns:c15="http://schemas.microsoft.com/office/drawing/2012/chart" uri="{CE6537A1-D6FC-4f65-9D91-7224C49458BB}"/>
                <c:ext xmlns:c16="http://schemas.microsoft.com/office/drawing/2014/chart" uri="{C3380CC4-5D6E-409C-BE32-E72D297353CC}">
                  <c16:uniqueId val="{0000001E-3386-4585-8DFF-9EC0528BA8AC}"/>
                </c:ext>
              </c:extLst>
            </c:dLbl>
            <c:dLbl>
              <c:idx val="13"/>
              <c:delete val="1"/>
              <c:extLst>
                <c:ext xmlns:c15="http://schemas.microsoft.com/office/drawing/2012/chart" uri="{CE6537A1-D6FC-4f65-9D91-7224C49458BB}"/>
                <c:ext xmlns:c16="http://schemas.microsoft.com/office/drawing/2014/chart" uri="{C3380CC4-5D6E-409C-BE32-E72D297353CC}">
                  <c16:uniqueId val="{00000008-8CE3-44EB-A862-42500EFEAEA0}"/>
                </c:ext>
              </c:extLst>
            </c:dLbl>
            <c:dLbl>
              <c:idx val="14"/>
              <c:delete val="1"/>
              <c:extLst>
                <c:ext xmlns:c15="http://schemas.microsoft.com/office/drawing/2012/chart" uri="{CE6537A1-D6FC-4f65-9D91-7224C49458BB}"/>
                <c:ext xmlns:c16="http://schemas.microsoft.com/office/drawing/2014/chart" uri="{C3380CC4-5D6E-409C-BE32-E72D297353CC}">
                  <c16:uniqueId val="{0000001F-3386-4585-8DFF-9EC0528BA8AC}"/>
                </c:ext>
              </c:extLst>
            </c:dLbl>
            <c:dLbl>
              <c:idx val="15"/>
              <c:delete val="1"/>
              <c:extLst>
                <c:ext xmlns:c15="http://schemas.microsoft.com/office/drawing/2012/chart" uri="{CE6537A1-D6FC-4f65-9D91-7224C49458BB}"/>
                <c:ext xmlns:c16="http://schemas.microsoft.com/office/drawing/2014/chart" uri="{C3380CC4-5D6E-409C-BE32-E72D297353CC}">
                  <c16:uniqueId val="{00000014-DD50-4D65-B5E3-D60333651AB9}"/>
                </c:ext>
              </c:extLst>
            </c:dLbl>
            <c:dLbl>
              <c:idx val="16"/>
              <c:delete val="1"/>
              <c:extLst>
                <c:ext xmlns:c15="http://schemas.microsoft.com/office/drawing/2012/chart" uri="{CE6537A1-D6FC-4f65-9D91-7224C49458BB}"/>
                <c:ext xmlns:c16="http://schemas.microsoft.com/office/drawing/2014/chart" uri="{C3380CC4-5D6E-409C-BE32-E72D297353CC}">
                  <c16:uniqueId val="{00000014-D1FC-467E-B450-59DB74233CA4}"/>
                </c:ext>
              </c:extLst>
            </c:dLbl>
            <c:dLbl>
              <c:idx val="17"/>
              <c:delete val="1"/>
              <c:extLst>
                <c:ext xmlns:c15="http://schemas.microsoft.com/office/drawing/2012/chart" uri="{CE6537A1-D6FC-4f65-9D91-7224C49458BB}"/>
                <c:ext xmlns:c16="http://schemas.microsoft.com/office/drawing/2014/chart" uri="{C3380CC4-5D6E-409C-BE32-E72D297353CC}">
                  <c16:uniqueId val="{00000014-2240-46EA-870F-0C65642C2F88}"/>
                </c:ext>
              </c:extLst>
            </c:dLbl>
            <c:dLbl>
              <c:idx val="18"/>
              <c:delete val="1"/>
              <c:extLst>
                <c:ext xmlns:c15="http://schemas.microsoft.com/office/drawing/2012/chart" uri="{CE6537A1-D6FC-4f65-9D91-7224C49458BB}"/>
                <c:ext xmlns:c16="http://schemas.microsoft.com/office/drawing/2014/chart" uri="{C3380CC4-5D6E-409C-BE32-E72D297353CC}">
                  <c16:uniqueId val="{00000015-E132-40F1-A8D0-ED77B12FE91D}"/>
                </c:ext>
              </c:extLst>
            </c:dLbl>
            <c:dLbl>
              <c:idx val="19"/>
              <c:delete val="1"/>
              <c:extLst>
                <c:ext xmlns:c15="http://schemas.microsoft.com/office/drawing/2012/chart" uri="{CE6537A1-D6FC-4f65-9D91-7224C49458BB}"/>
                <c:ext xmlns:c16="http://schemas.microsoft.com/office/drawing/2014/chart" uri="{C3380CC4-5D6E-409C-BE32-E72D297353CC}">
                  <c16:uniqueId val="{00000023-5B3A-48E4-BFE3-8F1D73041ADA}"/>
                </c:ext>
              </c:extLst>
            </c:dLbl>
            <c:dLbl>
              <c:idx val="20"/>
              <c:delete val="1"/>
              <c:extLst>
                <c:ext xmlns:c15="http://schemas.microsoft.com/office/drawing/2012/chart" uri="{CE6537A1-D6FC-4f65-9D91-7224C49458BB}"/>
                <c:ext xmlns:c16="http://schemas.microsoft.com/office/drawing/2014/chart" uri="{C3380CC4-5D6E-409C-BE32-E72D297353CC}">
                  <c16:uniqueId val="{00000024-5B3A-48E4-BFE3-8F1D73041ADA}"/>
                </c:ext>
              </c:extLst>
            </c:dLbl>
            <c:dLbl>
              <c:idx val="21"/>
              <c:delete val="1"/>
              <c:extLst>
                <c:ext xmlns:c15="http://schemas.microsoft.com/office/drawing/2012/chart" uri="{CE6537A1-D6FC-4f65-9D91-7224C49458BB}"/>
                <c:ext xmlns:c16="http://schemas.microsoft.com/office/drawing/2014/chart" uri="{C3380CC4-5D6E-409C-BE32-E72D297353CC}">
                  <c16:uniqueId val="{00000020-C0CF-4264-8936-E29CFD0B6FCA}"/>
                </c:ext>
              </c:extLst>
            </c:dLbl>
            <c:dLbl>
              <c:idx val="22"/>
              <c:delete val="1"/>
              <c:extLst>
                <c:ext xmlns:c15="http://schemas.microsoft.com/office/drawing/2012/chart" uri="{CE6537A1-D6FC-4f65-9D91-7224C49458BB}"/>
                <c:ext xmlns:c16="http://schemas.microsoft.com/office/drawing/2014/chart" uri="{C3380CC4-5D6E-409C-BE32-E72D297353CC}">
                  <c16:uniqueId val="{00000021-985C-43A3-8964-C79071A87427}"/>
                </c:ext>
              </c:extLst>
            </c:dLbl>
            <c:dLbl>
              <c:idx val="23"/>
              <c:layout>
                <c:manualLayout>
                  <c:x val="-2.0772238514174177E-2"/>
                  <c:y val="-3.36699011108459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85C-43A3-8964-C79071A87427}"/>
                </c:ext>
              </c:extLst>
            </c:dLbl>
            <c:dLbl>
              <c:idx val="24"/>
              <c:delete val="1"/>
              <c:extLst>
                <c:ext xmlns:c15="http://schemas.microsoft.com/office/drawing/2012/chart" uri="{CE6537A1-D6FC-4f65-9D91-7224C49458BB}"/>
                <c:ext xmlns:c16="http://schemas.microsoft.com/office/drawing/2014/chart" uri="{C3380CC4-5D6E-409C-BE32-E72D297353CC}">
                  <c16:uniqueId val="{00000021-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1-CB39-49CF-BD0A-D48C7D754441}"/>
                </c:ext>
              </c:extLst>
            </c:dLbl>
            <c:dLbl>
              <c:idx val="26"/>
              <c:delete val="1"/>
              <c:extLst>
                <c:ext xmlns:c15="http://schemas.microsoft.com/office/drawing/2012/chart" uri="{CE6537A1-D6FC-4f65-9D91-7224C49458BB}"/>
                <c:ext xmlns:c16="http://schemas.microsoft.com/office/drawing/2014/chart" uri="{C3380CC4-5D6E-409C-BE32-E72D297353CC}">
                  <c16:uniqueId val="{00000023-CB39-49CF-BD0A-D48C7D754441}"/>
                </c:ext>
              </c:extLst>
            </c:dLbl>
            <c:dLbl>
              <c:idx val="27"/>
              <c:delete val="1"/>
              <c:extLst>
                <c:ext xmlns:c15="http://schemas.microsoft.com/office/drawing/2012/chart" uri="{CE6537A1-D6FC-4f65-9D91-7224C49458BB}"/>
                <c:ext xmlns:c16="http://schemas.microsoft.com/office/drawing/2014/chart" uri="{C3380CC4-5D6E-409C-BE32-E72D297353CC}">
                  <c16:uniqueId val="{00000022-3EC5-4E80-876F-415F9BB6F3CF}"/>
                </c:ext>
              </c:extLst>
            </c:dLbl>
            <c:dLbl>
              <c:idx val="28"/>
              <c:delete val="1"/>
              <c:extLst>
                <c:ext xmlns:c15="http://schemas.microsoft.com/office/drawing/2012/chart" uri="{CE6537A1-D6FC-4f65-9D91-7224C49458BB}"/>
                <c:ext xmlns:c16="http://schemas.microsoft.com/office/drawing/2014/chart" uri="{C3380CC4-5D6E-409C-BE32-E72D297353CC}">
                  <c16:uniqueId val="{00000024-3EC5-4E80-876F-415F9BB6F3CF}"/>
                </c:ext>
              </c:extLst>
            </c:dLbl>
            <c:dLbl>
              <c:idx val="29"/>
              <c:delete val="1"/>
              <c:extLst>
                <c:ext xmlns:c15="http://schemas.microsoft.com/office/drawing/2012/chart" uri="{CE6537A1-D6FC-4f65-9D91-7224C49458BB}"/>
                <c:ext xmlns:c16="http://schemas.microsoft.com/office/drawing/2014/chart" uri="{C3380CC4-5D6E-409C-BE32-E72D297353CC}">
                  <c16:uniqueId val="{00000021-0C81-482E-9EB4-BA67FE6CB365}"/>
                </c:ext>
              </c:extLst>
            </c:dLbl>
            <c:dLbl>
              <c:idx val="30"/>
              <c:delete val="1"/>
              <c:extLst>
                <c:ext xmlns:c15="http://schemas.microsoft.com/office/drawing/2012/chart" uri="{CE6537A1-D6FC-4f65-9D91-7224C49458BB}"/>
                <c:ext xmlns:c16="http://schemas.microsoft.com/office/drawing/2014/chart" uri="{C3380CC4-5D6E-409C-BE32-E72D297353CC}">
                  <c16:uniqueId val="{00000021-1743-455A-8423-CED22719992D}"/>
                </c:ext>
              </c:extLst>
            </c:dLbl>
            <c:dLbl>
              <c:idx val="31"/>
              <c:delete val="1"/>
              <c:extLst>
                <c:ext xmlns:c15="http://schemas.microsoft.com/office/drawing/2012/chart" uri="{CE6537A1-D6FC-4f65-9D91-7224C49458BB}"/>
                <c:ext xmlns:c16="http://schemas.microsoft.com/office/drawing/2014/chart" uri="{C3380CC4-5D6E-409C-BE32-E72D297353CC}">
                  <c16:uniqueId val="{00000021-7750-4B10-BC19-C241BB2EF2FD}"/>
                </c:ext>
              </c:extLst>
            </c:dLbl>
            <c:dLbl>
              <c:idx val="32"/>
              <c:delete val="1"/>
              <c:extLst>
                <c:ext xmlns:c15="http://schemas.microsoft.com/office/drawing/2012/chart" uri="{CE6537A1-D6FC-4f65-9D91-7224C49458BB}"/>
                <c:ext xmlns:c16="http://schemas.microsoft.com/office/drawing/2014/chart" uri="{C3380CC4-5D6E-409C-BE32-E72D297353CC}">
                  <c16:uniqueId val="{00000023-7750-4B10-BC19-C241BB2EF2FD}"/>
                </c:ext>
              </c:extLst>
            </c:dLbl>
            <c:dLbl>
              <c:idx val="33"/>
              <c:delete val="1"/>
              <c:extLst>
                <c:ext xmlns:c15="http://schemas.microsoft.com/office/drawing/2012/chart" uri="{CE6537A1-D6FC-4f65-9D91-7224C49458BB}"/>
                <c:ext xmlns:c16="http://schemas.microsoft.com/office/drawing/2014/chart" uri="{C3380CC4-5D6E-409C-BE32-E72D297353CC}">
                  <c16:uniqueId val="{00000021-37E2-42C8-A0EA-19D278B4EA83}"/>
                </c:ext>
              </c:extLst>
            </c:dLbl>
            <c:dLbl>
              <c:idx val="34"/>
              <c:delete val="1"/>
              <c:extLst>
                <c:ext xmlns:c15="http://schemas.microsoft.com/office/drawing/2012/chart" uri="{CE6537A1-D6FC-4f65-9D91-7224C49458BB}"/>
                <c:ext xmlns:c16="http://schemas.microsoft.com/office/drawing/2014/chart" uri="{C3380CC4-5D6E-409C-BE32-E72D297353CC}">
                  <c16:uniqueId val="{00000023-37E2-42C8-A0EA-19D278B4EA83}"/>
                </c:ext>
              </c:extLst>
            </c:dLbl>
            <c:dLbl>
              <c:idx val="35"/>
              <c:delete val="1"/>
              <c:extLst>
                <c:ext xmlns:c15="http://schemas.microsoft.com/office/drawing/2012/chart" uri="{CE6537A1-D6FC-4f65-9D91-7224C49458BB}"/>
                <c:ext xmlns:c16="http://schemas.microsoft.com/office/drawing/2014/chart" uri="{C3380CC4-5D6E-409C-BE32-E72D297353CC}">
                  <c16:uniqueId val="{00000021-04F2-4978-86C5-4777139F75C8}"/>
                </c:ext>
              </c:extLst>
            </c:dLbl>
            <c:spPr>
              <a:noFill/>
              <a:ln>
                <a:noFill/>
              </a:ln>
              <a:effectLst/>
            </c:spPr>
            <c:txPr>
              <a:bodyPr wrap="square" lIns="38100" tIns="19050" rIns="38100" bIns="19050" anchor="ctr">
                <a:spAutoFit/>
              </a:bodyPr>
              <a:lstStyle/>
              <a:p>
                <a:pPr>
                  <a:defRPr sz="1200" b="1">
                    <a:solidFill>
                      <a:schemeClr val="tx1"/>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'3.3'!$A$14:$B$66</c15:sqref>
                  </c15:fullRef>
                </c:ext>
              </c:extLst>
              <c:f>'3.3'!$A$30:$B$66</c:f>
              <c:multiLvlStrCache>
                <c:ptCount val="37"/>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lvl>
                <c:lvl>
                  <c:pt idx="0">
                    <c:v>2017</c:v>
                  </c:pt>
                  <c:pt idx="4">
                    <c:v>2018</c:v>
                  </c:pt>
                  <c:pt idx="8">
                    <c:v>2019</c:v>
                  </c:pt>
                  <c:pt idx="12">
                    <c:v>2020</c:v>
                  </c:pt>
                  <c:pt idx="16">
                    <c:v>2021</c:v>
                  </c:pt>
                  <c:pt idx="20">
                    <c:v>2022</c:v>
                  </c:pt>
                  <c:pt idx="24">
                    <c:v>2023</c:v>
                  </c:pt>
                  <c:pt idx="28">
                    <c:v>2024</c:v>
                  </c:pt>
                  <c:pt idx="32">
                    <c:v>2025</c:v>
                  </c:pt>
                  <c:pt idx="36">
                    <c:v>2026</c:v>
                  </c:pt>
                </c:lvl>
              </c:multiLvlStrCache>
            </c:multiLvlStrRef>
          </c:cat>
          <c:val>
            <c:numRef>
              <c:extLst>
                <c:ext xmlns:c15="http://schemas.microsoft.com/office/drawing/2012/chart" uri="{02D57815-91ED-43cb-92C2-25804820EDAC}">
                  <c15:fullRef>
                    <c15:sqref>'3.3'!$G$14:$G$66</c15:sqref>
                  </c15:fullRef>
                </c:ext>
              </c:extLst>
              <c:f>'3.3'!$G$30:$G$66</c:f>
              <c:numCache>
                <c:formatCode>#,##0.00</c:formatCode>
                <c:ptCount val="37"/>
                <c:pt idx="0">
                  <c:v>17.149999999999999</c:v>
                </c:pt>
                <c:pt idx="1">
                  <c:v>38.880000000000003</c:v>
                </c:pt>
                <c:pt idx="2">
                  <c:v>9.0299999999999994</c:v>
                </c:pt>
                <c:pt idx="3">
                  <c:v>2.99</c:v>
                </c:pt>
                <c:pt idx="4">
                  <c:v>15.95</c:v>
                </c:pt>
                <c:pt idx="5">
                  <c:v>18.36</c:v>
                </c:pt>
                <c:pt idx="6">
                  <c:v>7.6199999999999992</c:v>
                </c:pt>
                <c:pt idx="7">
                  <c:v>18.670000000000002</c:v>
                </c:pt>
                <c:pt idx="8">
                  <c:v>12.82</c:v>
                </c:pt>
                <c:pt idx="9">
                  <c:v>15.989999999999998</c:v>
                </c:pt>
                <c:pt idx="10">
                  <c:v>16.670000000000002</c:v>
                </c:pt>
                <c:pt idx="11">
                  <c:v>18.27</c:v>
                </c:pt>
                <c:pt idx="12">
                  <c:v>41.589999999999996</c:v>
                </c:pt>
                <c:pt idx="13">
                  <c:v>-1.21</c:v>
                </c:pt>
                <c:pt idx="14">
                  <c:v>15.34</c:v>
                </c:pt>
                <c:pt idx="15">
                  <c:v>24.919999999999998</c:v>
                </c:pt>
                <c:pt idx="16">
                  <c:v>11.55</c:v>
                </c:pt>
                <c:pt idx="17">
                  <c:v>26.18</c:v>
                </c:pt>
                <c:pt idx="18">
                  <c:v>5.59</c:v>
                </c:pt>
                <c:pt idx="19">
                  <c:v>-2.38</c:v>
                </c:pt>
                <c:pt idx="20">
                  <c:v>36.370000000000005</c:v>
                </c:pt>
                <c:pt idx="21">
                  <c:v>15.399999999999999</c:v>
                </c:pt>
                <c:pt idx="22">
                  <c:v>11.5</c:v>
                </c:pt>
                <c:pt idx="23">
                  <c:v>-2.63</c:v>
                </c:pt>
                <c:pt idx="24">
                  <c:v>13.72</c:v>
                </c:pt>
                <c:pt idx="25">
                  <c:v>14.816000000000001</c:v>
                </c:pt>
                <c:pt idx="26">
                  <c:v>13.76</c:v>
                </c:pt>
                <c:pt idx="27">
                  <c:v>8.85</c:v>
                </c:pt>
                <c:pt idx="28">
                  <c:v>16.940000000000001</c:v>
                </c:pt>
                <c:pt idx="29">
                  <c:v>20.439999999999998</c:v>
                </c:pt>
                <c:pt idx="30">
                  <c:v>10.200000000000001</c:v>
                </c:pt>
                <c:pt idx="31">
                  <c:v>20.010000000000005</c:v>
                </c:pt>
                <c:pt idx="32">
                  <c:v>19.457999999999998</c:v>
                </c:pt>
                <c:pt idx="33">
                  <c:v>16.794999999999998</c:v>
                </c:pt>
                <c:pt idx="34">
                  <c:v>19.498999999999999</c:v>
                </c:pt>
                <c:pt idx="35">
                  <c:v>7.2389999999999999</c:v>
                </c:pt>
                <c:pt idx="36">
                  <c:v>13.369</c:v>
                </c:pt>
              </c:numCache>
            </c:numRef>
          </c:val>
          <c:extLst>
            <c:ext xmlns:c15="http://schemas.microsoft.com/office/drawing/2012/chart" uri="{02D57815-91ED-43cb-92C2-25804820EDAC}">
              <c15:categoryFilterExceptions>
                <c15:categoryFilterException>
                  <c15:sqref>'3.3'!$G$22</c15:sqref>
                  <c15:dLbl>
                    <c:idx val="-1"/>
                    <c:delete val="1"/>
                    <c:extLst>
                      <c:ext uri="{CE6537A1-D6FC-4f65-9D91-7224C49458BB}"/>
                      <c:ext xmlns:c16="http://schemas.microsoft.com/office/drawing/2014/chart" uri="{C3380CC4-5D6E-409C-BE32-E72D297353CC}">
                        <c16:uniqueId val="{0000000C-BA68-40D8-B94F-DEC2782F952F}"/>
                      </c:ext>
                    </c:extLst>
                  </c15:dLbl>
                </c15:categoryFilterException>
                <c15:categoryFilterException>
                  <c15:sqref>'3.3'!$G$23</c15:sqref>
                  <c15:dLbl>
                    <c:idx val="-1"/>
                    <c:delete val="1"/>
                    <c:extLst>
                      <c:ext uri="{CE6537A1-D6FC-4f65-9D91-7224C49458BB}"/>
                      <c:ext xmlns:c16="http://schemas.microsoft.com/office/drawing/2014/chart" uri="{C3380CC4-5D6E-409C-BE32-E72D297353CC}">
                        <c16:uniqueId val="{0000000D-BA68-40D8-B94F-DEC2782F952F}"/>
                      </c:ext>
                    </c:extLst>
                  </c15:dLbl>
                </c15:categoryFilterException>
                <c15:categoryFilterException>
                  <c15:sqref>'3.3'!$G$24</c15:sqref>
                  <c15:dLbl>
                    <c:idx val="-1"/>
                    <c:delete val="1"/>
                    <c:extLst>
                      <c:ext uri="{CE6537A1-D6FC-4f65-9D91-7224C49458BB}"/>
                      <c:ext xmlns:c16="http://schemas.microsoft.com/office/drawing/2014/chart" uri="{C3380CC4-5D6E-409C-BE32-E72D297353CC}">
                        <c16:uniqueId val="{0000000E-BA68-40D8-B94F-DEC2782F952F}"/>
                      </c:ext>
                    </c:extLst>
                  </c15:dLbl>
                </c15:categoryFilterException>
                <c15:categoryFilterException>
                  <c15:sqref>'3.3'!$G$25</c15:sqref>
                  <c15:dLbl>
                    <c:idx val="-1"/>
                    <c:delete val="1"/>
                    <c:extLst>
                      <c:ext uri="{CE6537A1-D6FC-4f65-9D91-7224C49458BB}"/>
                      <c:ext xmlns:c16="http://schemas.microsoft.com/office/drawing/2014/chart" uri="{C3380CC4-5D6E-409C-BE32-E72D297353CC}">
                        <c16:uniqueId val="{0000000F-BA68-40D8-B94F-DEC2782F952F}"/>
                      </c:ext>
                    </c:extLst>
                  </c15:dLbl>
                </c15:categoryFilterException>
                <c15:categoryFilterException>
                  <c15:sqref>'3.3'!$G$26</c15:sqref>
                  <c15:dLbl>
                    <c:idx val="-1"/>
                    <c:delete val="1"/>
                    <c:extLst>
                      <c:ext uri="{CE6537A1-D6FC-4f65-9D91-7224C49458BB}"/>
                      <c:ext xmlns:c16="http://schemas.microsoft.com/office/drawing/2014/chart" uri="{C3380CC4-5D6E-409C-BE32-E72D297353CC}">
                        <c16:uniqueId val="{00000010-BA68-40D8-B94F-DEC2782F952F}"/>
                      </c:ext>
                    </c:extLst>
                  </c15:dLbl>
                </c15:categoryFilterException>
                <c15:categoryFilterException>
                  <c15:sqref>'3.3'!$G$27</c15:sqref>
                  <c15:dLbl>
                    <c:idx val="-1"/>
                    <c:delete val="1"/>
                    <c:extLst>
                      <c:ext uri="{CE6537A1-D6FC-4f65-9D91-7224C49458BB}"/>
                      <c:ext xmlns:c16="http://schemas.microsoft.com/office/drawing/2014/chart" uri="{C3380CC4-5D6E-409C-BE32-E72D297353CC}">
                        <c16:uniqueId val="{00000011-BA68-40D8-B94F-DEC2782F952F}"/>
                      </c:ext>
                    </c:extLst>
                  </c15:dLbl>
                </c15:categoryFilterException>
                <c15:categoryFilterException>
                  <c15:sqref>'3.3'!$G$28</c15:sqref>
                  <c15:dLbl>
                    <c:idx val="-1"/>
                    <c:delete val="1"/>
                    <c:extLst>
                      <c:ext uri="{CE6537A1-D6FC-4f65-9D91-7224C49458BB}"/>
                      <c:ext xmlns:c16="http://schemas.microsoft.com/office/drawing/2014/chart" uri="{C3380CC4-5D6E-409C-BE32-E72D297353CC}">
                        <c16:uniqueId val="{00000012-BA68-40D8-B94F-DEC2782F952F}"/>
                      </c:ext>
                    </c:extLst>
                  </c15:dLbl>
                </c15:categoryFilterException>
                <c15:categoryFilterException>
                  <c15:sqref>'3.3'!$G$29</c15:sqref>
                  <c15:dLbl>
                    <c:idx val="-1"/>
                    <c:delete val="1"/>
                    <c:extLst>
                      <c:ext uri="{CE6537A1-D6FC-4f65-9D91-7224C49458BB}"/>
                      <c:ext xmlns:c16="http://schemas.microsoft.com/office/drawing/2014/chart" uri="{C3380CC4-5D6E-409C-BE32-E72D297353CC}">
                        <c16:uniqueId val="{00000013-BA68-40D8-B94F-DEC2782F952F}"/>
                      </c:ext>
                    </c:extLst>
                  </c15:dLbl>
                </c15:categoryFilterException>
              </c15:categoryFilterExceptions>
            </c:ext>
            <c:ext xmlns:c16="http://schemas.microsoft.com/office/drawing/2014/chart" uri="{C3380CC4-5D6E-409C-BE32-E72D297353CC}">
              <c16:uniqueId val="{00000003-7135-4CEF-B63F-7B7EB48BF336}"/>
            </c:ext>
          </c:extLst>
        </c:ser>
        <c:dLbls>
          <c:showLegendKey val="0"/>
          <c:showVal val="0"/>
          <c:showCatName val="0"/>
          <c:showSerName val="0"/>
          <c:showPercent val="0"/>
          <c:showBubbleSize val="0"/>
        </c:dLbls>
        <c:gapWidth val="55"/>
        <c:overlap val="100"/>
        <c:axId val="486517912"/>
        <c:axId val="486518304"/>
      </c:barChart>
      <c:lineChart>
        <c:grouping val="standard"/>
        <c:varyColors val="0"/>
        <c:ser>
          <c:idx val="2"/>
          <c:order val="2"/>
          <c:tx>
            <c:strRef>
              <c:f>'3.3'!$C$4:$C$5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E-627B-4E58-B0B8-9A6F9EB296A2}"/>
                </c:ext>
              </c:extLst>
            </c:dLbl>
            <c:dLbl>
              <c:idx val="1"/>
              <c:delete val="1"/>
              <c:extLst>
                <c:ext xmlns:c15="http://schemas.microsoft.com/office/drawing/2012/chart" uri="{CE6537A1-D6FC-4f65-9D91-7224C49458BB}"/>
                <c:ext xmlns:c16="http://schemas.microsoft.com/office/drawing/2014/chart" uri="{C3380CC4-5D6E-409C-BE32-E72D297353CC}">
                  <c16:uniqueId val="{0000000D-627B-4E58-B0B8-9A6F9EB296A2}"/>
                </c:ext>
              </c:extLst>
            </c:dLbl>
            <c:dLbl>
              <c:idx val="2"/>
              <c:delete val="1"/>
              <c:extLst>
                <c:ext xmlns:c15="http://schemas.microsoft.com/office/drawing/2012/chart" uri="{CE6537A1-D6FC-4f65-9D91-7224C49458BB}"/>
                <c:ext xmlns:c16="http://schemas.microsoft.com/office/drawing/2014/chart" uri="{C3380CC4-5D6E-409C-BE32-E72D297353CC}">
                  <c16:uniqueId val="{0000000F-627B-4E58-B0B8-9A6F9EB296A2}"/>
                </c:ext>
              </c:extLst>
            </c:dLbl>
            <c:dLbl>
              <c:idx val="3"/>
              <c:delete val="1"/>
              <c:extLst>
                <c:ext xmlns:c15="http://schemas.microsoft.com/office/drawing/2012/chart" uri="{CE6537A1-D6FC-4f65-9D91-7224C49458BB}"/>
                <c:ext xmlns:c16="http://schemas.microsoft.com/office/drawing/2014/chart" uri="{C3380CC4-5D6E-409C-BE32-E72D297353CC}">
                  <c16:uniqueId val="{00000000-627B-4E58-B0B8-9A6F9EB296A2}"/>
                </c:ext>
              </c:extLst>
            </c:dLbl>
            <c:dLbl>
              <c:idx val="4"/>
              <c:delete val="1"/>
              <c:extLst>
                <c:ext xmlns:c15="http://schemas.microsoft.com/office/drawing/2012/chart" uri="{CE6537A1-D6FC-4f65-9D91-7224C49458BB}"/>
                <c:ext xmlns:c16="http://schemas.microsoft.com/office/drawing/2014/chart" uri="{C3380CC4-5D6E-409C-BE32-E72D297353CC}">
                  <c16:uniqueId val="{00000010-627B-4E58-B0B8-9A6F9EB296A2}"/>
                </c:ext>
              </c:extLst>
            </c:dLbl>
            <c:dLbl>
              <c:idx val="5"/>
              <c:delete val="1"/>
              <c:extLst>
                <c:ext xmlns:c15="http://schemas.microsoft.com/office/drawing/2012/chart" uri="{CE6537A1-D6FC-4f65-9D91-7224C49458BB}"/>
                <c:ext xmlns:c16="http://schemas.microsoft.com/office/drawing/2014/chart" uri="{C3380CC4-5D6E-409C-BE32-E72D297353CC}">
                  <c16:uniqueId val="{00000004-7135-4CEF-B63F-7B7EB48BF336}"/>
                </c:ext>
              </c:extLst>
            </c:dLbl>
            <c:dLbl>
              <c:idx val="6"/>
              <c:delete val="1"/>
              <c:extLst>
                <c:ext xmlns:c15="http://schemas.microsoft.com/office/drawing/2012/chart" uri="{CE6537A1-D6FC-4f65-9D91-7224C49458BB}"/>
                <c:ext xmlns:c16="http://schemas.microsoft.com/office/drawing/2014/chart" uri="{C3380CC4-5D6E-409C-BE32-E72D297353CC}">
                  <c16:uniqueId val="{00000011-627B-4E58-B0B8-9A6F9EB296A2}"/>
                </c:ext>
              </c:extLst>
            </c:dLbl>
            <c:dLbl>
              <c:idx val="7"/>
              <c:delete val="1"/>
              <c:extLst>
                <c:ext xmlns:c15="http://schemas.microsoft.com/office/drawing/2012/chart" uri="{CE6537A1-D6FC-4f65-9D91-7224C49458BB}"/>
                <c:ext xmlns:c16="http://schemas.microsoft.com/office/drawing/2014/chart" uri="{C3380CC4-5D6E-409C-BE32-E72D297353CC}">
                  <c16:uniqueId val="{00000012-627B-4E58-B0B8-9A6F9EB296A2}"/>
                </c:ext>
              </c:extLst>
            </c:dLbl>
            <c:dLbl>
              <c:idx val="8"/>
              <c:delete val="1"/>
              <c:extLst>
                <c:ext xmlns:c15="http://schemas.microsoft.com/office/drawing/2012/chart" uri="{CE6537A1-D6FC-4f65-9D91-7224C49458BB}"/>
                <c:ext xmlns:c16="http://schemas.microsoft.com/office/drawing/2014/chart" uri="{C3380CC4-5D6E-409C-BE32-E72D297353CC}">
                  <c16:uniqueId val="{00000000-C750-41D5-87AF-DFE5CBE5F4BB}"/>
                </c:ext>
              </c:extLst>
            </c:dLbl>
            <c:dLbl>
              <c:idx val="9"/>
              <c:delete val="1"/>
              <c:extLst>
                <c:ext xmlns:c15="http://schemas.microsoft.com/office/drawing/2012/chart" uri="{CE6537A1-D6FC-4f65-9D91-7224C49458BB}"/>
                <c:ext xmlns:c16="http://schemas.microsoft.com/office/drawing/2014/chart" uri="{C3380CC4-5D6E-409C-BE32-E72D297353CC}">
                  <c16:uniqueId val="{00000000-26B2-4AD2-A615-E65B0CAC3771}"/>
                </c:ext>
              </c:extLst>
            </c:dLbl>
            <c:dLbl>
              <c:idx val="10"/>
              <c:delete val="1"/>
              <c:extLst>
                <c:ext xmlns:c15="http://schemas.microsoft.com/office/drawing/2012/chart" uri="{CE6537A1-D6FC-4f65-9D91-7224C49458BB}"/>
                <c:ext xmlns:c16="http://schemas.microsoft.com/office/drawing/2014/chart" uri="{C3380CC4-5D6E-409C-BE32-E72D297353CC}">
                  <c16:uniqueId val="{0000000C-C3BA-432F-9F30-F8504776DAB2}"/>
                </c:ext>
              </c:extLst>
            </c:dLbl>
            <c:dLbl>
              <c:idx val="11"/>
              <c:delete val="1"/>
              <c:extLst>
                <c:ext xmlns:c15="http://schemas.microsoft.com/office/drawing/2012/chart" uri="{CE6537A1-D6FC-4f65-9D91-7224C49458BB}"/>
                <c:ext xmlns:c16="http://schemas.microsoft.com/office/drawing/2014/chart" uri="{C3380CC4-5D6E-409C-BE32-E72D297353CC}">
                  <c16:uniqueId val="{0000000C-2C01-4045-B743-43E2B3398FEF}"/>
                </c:ext>
              </c:extLst>
            </c:dLbl>
            <c:dLbl>
              <c:idx val="12"/>
              <c:delete val="1"/>
              <c:extLst>
                <c:ext xmlns:c15="http://schemas.microsoft.com/office/drawing/2012/chart" uri="{CE6537A1-D6FC-4f65-9D91-7224C49458BB}"/>
                <c:ext xmlns:c16="http://schemas.microsoft.com/office/drawing/2014/chart" uri="{C3380CC4-5D6E-409C-BE32-E72D297353CC}">
                  <c16:uniqueId val="{0000000C-58A4-413F-A56C-AF5B5E1AA6C9}"/>
                </c:ext>
              </c:extLst>
            </c:dLbl>
            <c:dLbl>
              <c:idx val="13"/>
              <c:delete val="1"/>
              <c:extLst>
                <c:ext xmlns:c15="http://schemas.microsoft.com/office/drawing/2012/chart" uri="{CE6537A1-D6FC-4f65-9D91-7224C49458BB}"/>
                <c:ext xmlns:c16="http://schemas.microsoft.com/office/drawing/2014/chart" uri="{C3380CC4-5D6E-409C-BE32-E72D297353CC}">
                  <c16:uniqueId val="{0000000D-4661-4DE3-9AE3-BEB6CD8533C7}"/>
                </c:ext>
              </c:extLst>
            </c:dLbl>
            <c:dLbl>
              <c:idx val="14"/>
              <c:delete val="1"/>
              <c:extLst>
                <c:ext xmlns:c15="http://schemas.microsoft.com/office/drawing/2012/chart" uri="{CE6537A1-D6FC-4f65-9D91-7224C49458BB}"/>
                <c:ext xmlns:c16="http://schemas.microsoft.com/office/drawing/2014/chart" uri="{C3380CC4-5D6E-409C-BE32-E72D297353CC}">
                  <c16:uniqueId val="{00000008-3386-4585-8DFF-9EC0528BA8AC}"/>
                </c:ext>
              </c:extLst>
            </c:dLbl>
            <c:dLbl>
              <c:idx val="15"/>
              <c:delete val="1"/>
              <c:extLst>
                <c:ext xmlns:c15="http://schemas.microsoft.com/office/drawing/2012/chart" uri="{CE6537A1-D6FC-4f65-9D91-7224C49458BB}"/>
                <c:ext xmlns:c16="http://schemas.microsoft.com/office/drawing/2014/chart" uri="{C3380CC4-5D6E-409C-BE32-E72D297353CC}">
                  <c16:uniqueId val="{00000009-75FA-464D-B7F7-86679D1E3521}"/>
                </c:ext>
              </c:extLst>
            </c:dLbl>
            <c:dLbl>
              <c:idx val="16"/>
              <c:delete val="1"/>
              <c:extLst>
                <c:ext xmlns:c15="http://schemas.microsoft.com/office/drawing/2012/chart" uri="{CE6537A1-D6FC-4f65-9D91-7224C49458BB}"/>
                <c:ext xmlns:c16="http://schemas.microsoft.com/office/drawing/2014/chart" uri="{C3380CC4-5D6E-409C-BE32-E72D297353CC}">
                  <c16:uniqueId val="{00000016-DD50-4D65-B5E3-D60333651AB9}"/>
                </c:ext>
              </c:extLst>
            </c:dLbl>
            <c:dLbl>
              <c:idx val="17"/>
              <c:delete val="1"/>
              <c:extLst>
                <c:ext xmlns:c15="http://schemas.microsoft.com/office/drawing/2012/chart" uri="{CE6537A1-D6FC-4f65-9D91-7224C49458BB}"/>
                <c:ext xmlns:c16="http://schemas.microsoft.com/office/drawing/2014/chart" uri="{C3380CC4-5D6E-409C-BE32-E72D297353CC}">
                  <c16:uniqueId val="{00000014-B2C3-42C4-BD7C-8D5BACDC40AF}"/>
                </c:ext>
              </c:extLst>
            </c:dLbl>
            <c:dLbl>
              <c:idx val="18"/>
              <c:delete val="1"/>
              <c:extLst>
                <c:ext xmlns:c15="http://schemas.microsoft.com/office/drawing/2012/chart" uri="{CE6537A1-D6FC-4f65-9D91-7224C49458BB}"/>
                <c:ext xmlns:c16="http://schemas.microsoft.com/office/drawing/2014/chart" uri="{C3380CC4-5D6E-409C-BE32-E72D297353CC}">
                  <c16:uniqueId val="{00000016-2240-46EA-870F-0C65642C2F88}"/>
                </c:ext>
              </c:extLst>
            </c:dLbl>
            <c:dLbl>
              <c:idx val="19"/>
              <c:delete val="1"/>
              <c:extLst>
                <c:ext xmlns:c15="http://schemas.microsoft.com/office/drawing/2012/chart" uri="{CE6537A1-D6FC-4f65-9D91-7224C49458BB}"/>
                <c:ext xmlns:c16="http://schemas.microsoft.com/office/drawing/2014/chart" uri="{C3380CC4-5D6E-409C-BE32-E72D297353CC}">
                  <c16:uniqueId val="{00000016-E132-40F1-A8D0-ED77B12FE91D}"/>
                </c:ext>
              </c:extLst>
            </c:dLbl>
            <c:dLbl>
              <c:idx val="20"/>
              <c:delete val="1"/>
              <c:extLst>
                <c:ext xmlns:c15="http://schemas.microsoft.com/office/drawing/2012/chart" uri="{CE6537A1-D6FC-4f65-9D91-7224C49458BB}"/>
                <c:ext xmlns:c16="http://schemas.microsoft.com/office/drawing/2014/chart" uri="{C3380CC4-5D6E-409C-BE32-E72D297353CC}">
                  <c16:uniqueId val="{00000021-5B3A-48E4-BFE3-8F1D73041ADA}"/>
                </c:ext>
              </c:extLst>
            </c:dLbl>
            <c:dLbl>
              <c:idx val="21"/>
              <c:delete val="1"/>
              <c:extLst>
                <c:ext xmlns:c15="http://schemas.microsoft.com/office/drawing/2012/chart" uri="{CE6537A1-D6FC-4f65-9D91-7224C49458BB}"/>
                <c:ext xmlns:c16="http://schemas.microsoft.com/office/drawing/2014/chart" uri="{C3380CC4-5D6E-409C-BE32-E72D297353CC}">
                  <c16:uniqueId val="{00000021-9CB1-4394-895A-35525C0426E0}"/>
                </c:ext>
              </c:extLst>
            </c:dLbl>
            <c:dLbl>
              <c:idx val="22"/>
              <c:delete val="1"/>
              <c:extLst>
                <c:ext xmlns:c15="http://schemas.microsoft.com/office/drawing/2012/chart" uri="{CE6537A1-D6FC-4f65-9D91-7224C49458BB}"/>
                <c:ext xmlns:c16="http://schemas.microsoft.com/office/drawing/2014/chart" uri="{C3380CC4-5D6E-409C-BE32-E72D297353CC}">
                  <c16:uniqueId val="{00000022-C0CF-4264-8936-E29CFD0B6FCA}"/>
                </c:ext>
              </c:extLst>
            </c:dLbl>
            <c:dLbl>
              <c:idx val="23"/>
              <c:delete val="1"/>
              <c:extLst>
                <c:ext xmlns:c15="http://schemas.microsoft.com/office/drawing/2012/chart" uri="{CE6537A1-D6FC-4f65-9D91-7224C49458BB}"/>
                <c:ext xmlns:c16="http://schemas.microsoft.com/office/drawing/2014/chart" uri="{C3380CC4-5D6E-409C-BE32-E72D297353CC}">
                  <c16:uniqueId val="{00000020-985C-43A3-8964-C79071A87427}"/>
                </c:ext>
              </c:extLst>
            </c:dLbl>
            <c:dLbl>
              <c:idx val="24"/>
              <c:delete val="1"/>
              <c:extLst>
                <c:ext xmlns:c15="http://schemas.microsoft.com/office/drawing/2012/chart" uri="{CE6537A1-D6FC-4f65-9D91-7224C49458BB}"/>
                <c:ext xmlns:c16="http://schemas.microsoft.com/office/drawing/2014/chart" uri="{C3380CC4-5D6E-409C-BE32-E72D297353CC}">
                  <c16:uniqueId val="{00000020-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0-752C-4E22-96F5-909AD433DD20}"/>
                </c:ext>
              </c:extLst>
            </c:dLbl>
            <c:dLbl>
              <c:idx val="26"/>
              <c:delete val="1"/>
              <c:extLst>
                <c:ext xmlns:c15="http://schemas.microsoft.com/office/drawing/2012/chart" uri="{CE6537A1-D6FC-4f65-9D91-7224C49458BB}"/>
                <c:ext xmlns:c16="http://schemas.microsoft.com/office/drawing/2014/chart" uri="{C3380CC4-5D6E-409C-BE32-E72D297353CC}">
                  <c16:uniqueId val="{00000020-CB39-49CF-BD0A-D48C7D754441}"/>
                </c:ext>
              </c:extLst>
            </c:dLbl>
            <c:dLbl>
              <c:idx val="27"/>
              <c:delete val="1"/>
              <c:extLst>
                <c:ext xmlns:c15="http://schemas.microsoft.com/office/drawing/2012/chart" uri="{CE6537A1-D6FC-4f65-9D91-7224C49458BB}"/>
                <c:ext xmlns:c16="http://schemas.microsoft.com/office/drawing/2014/chart" uri="{C3380CC4-5D6E-409C-BE32-E72D297353CC}">
                  <c16:uniqueId val="{00000021-87C7-4FAD-AA4B-AE0BEFC0F95E}"/>
                </c:ext>
              </c:extLst>
            </c:dLbl>
            <c:dLbl>
              <c:idx val="28"/>
              <c:delete val="1"/>
              <c:extLst>
                <c:ext xmlns:c15="http://schemas.microsoft.com/office/drawing/2012/chart" uri="{CE6537A1-D6FC-4f65-9D91-7224C49458BB}"/>
                <c:ext xmlns:c16="http://schemas.microsoft.com/office/drawing/2014/chart" uri="{C3380CC4-5D6E-409C-BE32-E72D297353CC}">
                  <c16:uniqueId val="{00000021-3EC5-4E80-876F-415F9BB6F3CF}"/>
                </c:ext>
              </c:extLst>
            </c:dLbl>
            <c:dLbl>
              <c:idx val="29"/>
              <c:delete val="1"/>
              <c:extLst>
                <c:ext xmlns:c15="http://schemas.microsoft.com/office/drawing/2012/chart" uri="{CE6537A1-D6FC-4f65-9D91-7224C49458BB}"/>
                <c:ext xmlns:c16="http://schemas.microsoft.com/office/drawing/2014/chart" uri="{C3380CC4-5D6E-409C-BE32-E72D297353CC}">
                  <c16:uniqueId val="{00000021-9811-4214-9E94-6AB454351A33}"/>
                </c:ext>
              </c:extLst>
            </c:dLbl>
            <c:dLbl>
              <c:idx val="30"/>
              <c:delete val="1"/>
              <c:extLst>
                <c:ext xmlns:c15="http://schemas.microsoft.com/office/drawing/2012/chart" uri="{CE6537A1-D6FC-4f65-9D91-7224C49458BB}"/>
                <c:ext xmlns:c16="http://schemas.microsoft.com/office/drawing/2014/chart" uri="{C3380CC4-5D6E-409C-BE32-E72D297353CC}">
                  <c16:uniqueId val="{00000022-0C81-482E-9EB4-BA67FE6CB365}"/>
                </c:ext>
              </c:extLst>
            </c:dLbl>
            <c:dLbl>
              <c:idx val="31"/>
              <c:delete val="1"/>
              <c:extLst>
                <c:ext xmlns:c15="http://schemas.microsoft.com/office/drawing/2012/chart" uri="{CE6537A1-D6FC-4f65-9D91-7224C49458BB}"/>
                <c:ext xmlns:c16="http://schemas.microsoft.com/office/drawing/2014/chart" uri="{C3380CC4-5D6E-409C-BE32-E72D297353CC}">
                  <c16:uniqueId val="{00000020-1743-455A-8423-CED22719992D}"/>
                </c:ext>
              </c:extLst>
            </c:dLbl>
            <c:dLbl>
              <c:idx val="32"/>
              <c:delete val="1"/>
              <c:extLst>
                <c:ext xmlns:c15="http://schemas.microsoft.com/office/drawing/2012/chart" uri="{CE6537A1-D6FC-4f65-9D91-7224C49458BB}"/>
                <c:ext xmlns:c16="http://schemas.microsoft.com/office/drawing/2014/chart" uri="{C3380CC4-5D6E-409C-BE32-E72D297353CC}">
                  <c16:uniqueId val="{00000020-7750-4B10-BC19-C241BB2EF2FD}"/>
                </c:ext>
              </c:extLst>
            </c:dLbl>
            <c:dLbl>
              <c:idx val="33"/>
              <c:delete val="1"/>
              <c:extLst>
                <c:ext xmlns:c15="http://schemas.microsoft.com/office/drawing/2012/chart" uri="{CE6537A1-D6FC-4f65-9D91-7224C49458BB}"/>
                <c:ext xmlns:c16="http://schemas.microsoft.com/office/drawing/2014/chart" uri="{C3380CC4-5D6E-409C-BE32-E72D297353CC}">
                  <c16:uniqueId val="{00000020-545A-477D-8FCE-FC45717F0A66}"/>
                </c:ext>
              </c:extLst>
            </c:dLbl>
            <c:dLbl>
              <c:idx val="34"/>
              <c:delete val="1"/>
              <c:extLst>
                <c:ext xmlns:c15="http://schemas.microsoft.com/office/drawing/2012/chart" uri="{CE6537A1-D6FC-4f65-9D91-7224C49458BB}"/>
                <c:ext xmlns:c16="http://schemas.microsoft.com/office/drawing/2014/chart" uri="{C3380CC4-5D6E-409C-BE32-E72D297353CC}">
                  <c16:uniqueId val="{00000022-37E2-42C8-A0EA-19D278B4EA83}"/>
                </c:ext>
              </c:extLst>
            </c:dLbl>
            <c:dLbl>
              <c:idx val="35"/>
              <c:delete val="1"/>
              <c:extLst>
                <c:ext xmlns:c15="http://schemas.microsoft.com/office/drawing/2012/chart" uri="{CE6537A1-D6FC-4f65-9D91-7224C49458BB}"/>
                <c:ext xmlns:c16="http://schemas.microsoft.com/office/drawing/2014/chart" uri="{C3380CC4-5D6E-409C-BE32-E72D297353CC}">
                  <c16:uniqueId val="{00000021-D5EA-4BA3-B97D-9BAB4F235A1B}"/>
                </c:ext>
              </c:extLst>
            </c:dLbl>
            <c:dLbl>
              <c:idx val="36"/>
              <c:layout>
                <c:manualLayout>
                  <c:x val="-7.8201368523949169E-3"/>
                  <c:y val="-3.6363636363636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4F2-4978-86C5-4777139F75C8}"/>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'3.3'!$A$14:$B$66</c15:sqref>
                  </c15:fullRef>
                </c:ext>
              </c:extLst>
              <c:f>'3.3'!$A$30:$B$66</c:f>
              <c:multiLvlStrCache>
                <c:ptCount val="37"/>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lvl>
                <c:lvl>
                  <c:pt idx="0">
                    <c:v>2017</c:v>
                  </c:pt>
                  <c:pt idx="4">
                    <c:v>2018</c:v>
                  </c:pt>
                  <c:pt idx="8">
                    <c:v>2019</c:v>
                  </c:pt>
                  <c:pt idx="12">
                    <c:v>2020</c:v>
                  </c:pt>
                  <c:pt idx="16">
                    <c:v>2021</c:v>
                  </c:pt>
                  <c:pt idx="20">
                    <c:v>2022</c:v>
                  </c:pt>
                  <c:pt idx="24">
                    <c:v>2023</c:v>
                  </c:pt>
                  <c:pt idx="28">
                    <c:v>2024</c:v>
                  </c:pt>
                  <c:pt idx="32">
                    <c:v>2025</c:v>
                  </c:pt>
                  <c:pt idx="36">
                    <c:v>2026</c:v>
                  </c:pt>
                </c:lvl>
              </c:multiLvlStrCache>
            </c:multiLvlStrRef>
          </c:cat>
          <c:val>
            <c:numRef>
              <c:extLst>
                <c:ext xmlns:c15="http://schemas.microsoft.com/office/drawing/2012/chart" uri="{02D57815-91ED-43cb-92C2-25804820EDAC}">
                  <c15:fullRef>
                    <c15:sqref>'3.3'!$C$14:$C$66</c15:sqref>
                  </c15:fullRef>
                </c:ext>
              </c:extLst>
              <c:f>'3.3'!$C$30:$C$66</c:f>
              <c:numCache>
                <c:formatCode>#,##0.00</c:formatCode>
                <c:ptCount val="37"/>
                <c:pt idx="0">
                  <c:v>36.909999999999997</c:v>
                </c:pt>
                <c:pt idx="1">
                  <c:v>58.290000000000006</c:v>
                </c:pt>
                <c:pt idx="2">
                  <c:v>27.869999999999997</c:v>
                </c:pt>
                <c:pt idx="3">
                  <c:v>21.800000000000004</c:v>
                </c:pt>
                <c:pt idx="4">
                  <c:v>31.22</c:v>
                </c:pt>
                <c:pt idx="5">
                  <c:v>35.53</c:v>
                </c:pt>
                <c:pt idx="6">
                  <c:v>24.57</c:v>
                </c:pt>
                <c:pt idx="7">
                  <c:v>35.25</c:v>
                </c:pt>
                <c:pt idx="8">
                  <c:v>27.97</c:v>
                </c:pt>
                <c:pt idx="9">
                  <c:v>36.819999999999993</c:v>
                </c:pt>
                <c:pt idx="10">
                  <c:v>37.86</c:v>
                </c:pt>
                <c:pt idx="11">
                  <c:v>43.769999999999996</c:v>
                </c:pt>
                <c:pt idx="12">
                  <c:v>59.309999999999995</c:v>
                </c:pt>
                <c:pt idx="13">
                  <c:v>17.189999999999998</c:v>
                </c:pt>
                <c:pt idx="14">
                  <c:v>40.75</c:v>
                </c:pt>
                <c:pt idx="15">
                  <c:v>44.59</c:v>
                </c:pt>
                <c:pt idx="16">
                  <c:v>27.71</c:v>
                </c:pt>
                <c:pt idx="17">
                  <c:v>42.24</c:v>
                </c:pt>
                <c:pt idx="18">
                  <c:v>21.72</c:v>
                </c:pt>
                <c:pt idx="19">
                  <c:v>14.670000000000002</c:v>
                </c:pt>
                <c:pt idx="20">
                  <c:v>81.180000000000007</c:v>
                </c:pt>
                <c:pt idx="21">
                  <c:v>29.88</c:v>
                </c:pt>
                <c:pt idx="22">
                  <c:v>26.15</c:v>
                </c:pt>
                <c:pt idx="23">
                  <c:v>14.75</c:v>
                </c:pt>
                <c:pt idx="24">
                  <c:v>34.61</c:v>
                </c:pt>
                <c:pt idx="25">
                  <c:v>34.387999999999998</c:v>
                </c:pt>
                <c:pt idx="26">
                  <c:v>47.47</c:v>
                </c:pt>
                <c:pt idx="27">
                  <c:v>25.950000000000003</c:v>
                </c:pt>
                <c:pt idx="28">
                  <c:v>36.180000000000007</c:v>
                </c:pt>
                <c:pt idx="29">
                  <c:v>39.369999999999997</c:v>
                </c:pt>
                <c:pt idx="30">
                  <c:v>27.380000000000003</c:v>
                </c:pt>
                <c:pt idx="31">
                  <c:v>27.520000000000007</c:v>
                </c:pt>
                <c:pt idx="32">
                  <c:v>42.177</c:v>
                </c:pt>
                <c:pt idx="33">
                  <c:v>29.854999999999997</c:v>
                </c:pt>
                <c:pt idx="34">
                  <c:v>50.186999999999998</c:v>
                </c:pt>
                <c:pt idx="35">
                  <c:v>27.794</c:v>
                </c:pt>
                <c:pt idx="36">
                  <c:v>34.326999999999998</c:v>
                </c:pt>
              </c:numCache>
            </c:numRef>
          </c:val>
          <c:smooth val="0"/>
          <c:extLst>
            <c:ext xmlns:c15="http://schemas.microsoft.com/office/drawing/2012/chart" uri="{02D57815-91ED-43cb-92C2-25804820EDAC}">
              <c15:categoryFilterExceptions>
                <c15:categoryFilterException>
                  <c15:sqref>'3.3'!$C$18</c15:sqref>
                  <c15:dLbl>
                    <c:idx val="-1"/>
                    <c:delete val="1"/>
                    <c:extLst>
                      <c:ext uri="{CE6537A1-D6FC-4f65-9D91-7224C49458BB}"/>
                      <c:ext xmlns:c16="http://schemas.microsoft.com/office/drawing/2014/chart" uri="{C3380CC4-5D6E-409C-BE32-E72D297353CC}">
                        <c16:uniqueId val="{00000014-BA68-40D8-B94F-DEC2782F952F}"/>
                      </c:ext>
                    </c:extLst>
                  </c15:dLbl>
                </c15:categoryFilterException>
                <c15:categoryFilterException>
                  <c15:sqref>'3.3'!$C$19</c15:sqref>
                  <c15:dLbl>
                    <c:idx val="-1"/>
                    <c:delete val="1"/>
                    <c:extLst>
                      <c:ext uri="{CE6537A1-D6FC-4f65-9D91-7224C49458BB}"/>
                      <c:ext xmlns:c16="http://schemas.microsoft.com/office/drawing/2014/chart" uri="{C3380CC4-5D6E-409C-BE32-E72D297353CC}">
                        <c16:uniqueId val="{00000015-BA68-40D8-B94F-DEC2782F952F}"/>
                      </c:ext>
                    </c:extLst>
                  </c15:dLbl>
                </c15:categoryFilterException>
                <c15:categoryFilterException>
                  <c15:sqref>'3.3'!$C$20</c15:sqref>
                  <c15:dLbl>
                    <c:idx val="-1"/>
                    <c:delete val="1"/>
                    <c:extLst>
                      <c:ext uri="{CE6537A1-D6FC-4f65-9D91-7224C49458BB}"/>
                      <c:ext xmlns:c16="http://schemas.microsoft.com/office/drawing/2014/chart" uri="{C3380CC4-5D6E-409C-BE32-E72D297353CC}">
                        <c16:uniqueId val="{00000016-BA68-40D8-B94F-DEC2782F952F}"/>
                      </c:ext>
                    </c:extLst>
                  </c15:dLbl>
                </c15:categoryFilterException>
                <c15:categoryFilterException>
                  <c15:sqref>'3.3'!$C$21</c15:sqref>
                  <c15:dLbl>
                    <c:idx val="-1"/>
                    <c:delete val="1"/>
                    <c:extLst>
                      <c:ext uri="{CE6537A1-D6FC-4f65-9D91-7224C49458BB}"/>
                      <c:ext xmlns:c16="http://schemas.microsoft.com/office/drawing/2014/chart" uri="{C3380CC4-5D6E-409C-BE32-E72D297353CC}">
                        <c16:uniqueId val="{00000017-BA68-40D8-B94F-DEC2782F952F}"/>
                      </c:ext>
                    </c:extLst>
                  </c15:dLbl>
                </c15:categoryFilterException>
                <c15:categoryFilterException>
                  <c15:sqref>'3.3'!$C$22</c15:sqref>
                  <c15:dLbl>
                    <c:idx val="-1"/>
                    <c:delete val="1"/>
                    <c:extLst>
                      <c:ext uri="{CE6537A1-D6FC-4f65-9D91-7224C49458BB}"/>
                      <c:ext xmlns:c16="http://schemas.microsoft.com/office/drawing/2014/chart" uri="{C3380CC4-5D6E-409C-BE32-E72D297353CC}">
                        <c16:uniqueId val="{00000018-BA68-40D8-B94F-DEC2782F952F}"/>
                      </c:ext>
                    </c:extLst>
                  </c15:dLbl>
                </c15:categoryFilterException>
                <c15:categoryFilterException>
                  <c15:sqref>'3.3'!$C$23</c15:sqref>
                  <c15:dLbl>
                    <c:idx val="-1"/>
                    <c:delete val="1"/>
                    <c:extLst>
                      <c:ext uri="{CE6537A1-D6FC-4f65-9D91-7224C49458BB}"/>
                      <c:ext xmlns:c16="http://schemas.microsoft.com/office/drawing/2014/chart" uri="{C3380CC4-5D6E-409C-BE32-E72D297353CC}">
                        <c16:uniqueId val="{00000019-BA68-40D8-B94F-DEC2782F952F}"/>
                      </c:ext>
                    </c:extLst>
                  </c15:dLbl>
                </c15:categoryFilterException>
                <c15:categoryFilterException>
                  <c15:sqref>'3.3'!$C$24</c15:sqref>
                  <c15:dLbl>
                    <c:idx val="-1"/>
                    <c:delete val="1"/>
                    <c:extLst>
                      <c:ext uri="{CE6537A1-D6FC-4f65-9D91-7224C49458BB}"/>
                      <c:ext xmlns:c16="http://schemas.microsoft.com/office/drawing/2014/chart" uri="{C3380CC4-5D6E-409C-BE32-E72D297353CC}">
                        <c16:uniqueId val="{0000001A-BA68-40D8-B94F-DEC2782F952F}"/>
                      </c:ext>
                    </c:extLst>
                  </c15:dLbl>
                </c15:categoryFilterException>
                <c15:categoryFilterException>
                  <c15:sqref>'3.3'!$C$25</c15:sqref>
                  <c15:dLbl>
                    <c:idx val="-1"/>
                    <c:delete val="1"/>
                    <c:extLst>
                      <c:ext uri="{CE6537A1-D6FC-4f65-9D91-7224C49458BB}"/>
                      <c:ext xmlns:c16="http://schemas.microsoft.com/office/drawing/2014/chart" uri="{C3380CC4-5D6E-409C-BE32-E72D297353CC}">
                        <c16:uniqueId val="{0000001B-BA68-40D8-B94F-DEC2782F952F}"/>
                      </c:ext>
                    </c:extLst>
                  </c15:dLbl>
                </c15:categoryFilterException>
                <c15:categoryFilterException>
                  <c15:sqref>'3.3'!$C$26</c15:sqref>
                  <c15:dLbl>
                    <c:idx val="-1"/>
                    <c:delete val="1"/>
                    <c:extLst>
                      <c:ext uri="{CE6537A1-D6FC-4f65-9D91-7224C49458BB}"/>
                      <c:ext xmlns:c16="http://schemas.microsoft.com/office/drawing/2014/chart" uri="{C3380CC4-5D6E-409C-BE32-E72D297353CC}">
                        <c16:uniqueId val="{0000001C-BA68-40D8-B94F-DEC2782F952F}"/>
                      </c:ext>
                    </c:extLst>
                  </c15:dLbl>
                </c15:categoryFilterException>
                <c15:categoryFilterException>
                  <c15:sqref>'3.3'!$C$27</c15:sqref>
                  <c15:dLbl>
                    <c:idx val="-1"/>
                    <c:delete val="1"/>
                    <c:extLst>
                      <c:ext uri="{CE6537A1-D6FC-4f65-9D91-7224C49458BB}"/>
                      <c:ext xmlns:c16="http://schemas.microsoft.com/office/drawing/2014/chart" uri="{C3380CC4-5D6E-409C-BE32-E72D297353CC}">
                        <c16:uniqueId val="{0000001D-BA68-40D8-B94F-DEC2782F952F}"/>
                      </c:ext>
                    </c:extLst>
                  </c15:dLbl>
                </c15:categoryFilterException>
                <c15:categoryFilterException>
                  <c15:sqref>'3.3'!$C$28</c15:sqref>
                  <c15:dLbl>
                    <c:idx val="-1"/>
                    <c:delete val="1"/>
                    <c:extLst>
                      <c:ext uri="{CE6537A1-D6FC-4f65-9D91-7224C49458BB}"/>
                      <c:ext xmlns:c16="http://schemas.microsoft.com/office/drawing/2014/chart" uri="{C3380CC4-5D6E-409C-BE32-E72D297353CC}">
                        <c16:uniqueId val="{0000001E-BA68-40D8-B94F-DEC2782F952F}"/>
                      </c:ext>
                    </c:extLst>
                  </c15:dLbl>
                </c15:categoryFilterException>
                <c15:categoryFilterException>
                  <c15:sqref>'3.3'!$C$29</c15:sqref>
                  <c15:dLbl>
                    <c:idx val="-1"/>
                    <c:delete val="1"/>
                    <c:extLst>
                      <c:ext uri="{CE6537A1-D6FC-4f65-9D91-7224C49458BB}"/>
                      <c:ext xmlns:c16="http://schemas.microsoft.com/office/drawing/2014/chart" uri="{C3380CC4-5D6E-409C-BE32-E72D297353CC}">
                        <c16:uniqueId val="{0000001F-BA68-40D8-B94F-DEC2782F952F}"/>
                      </c:ext>
                    </c:extLst>
                  </c15:dLbl>
                </c15:categoryFilterException>
              </c15:categoryFilterExceptions>
            </c:ext>
            <c:ext xmlns:c16="http://schemas.microsoft.com/office/drawing/2014/chart" uri="{C3380CC4-5D6E-409C-BE32-E72D297353CC}">
              <c16:uniqueId val="{00000005-7135-4CEF-B63F-7B7EB48BF336}"/>
            </c:ext>
          </c:extLst>
        </c:ser>
        <c:dLbls>
          <c:showLegendKey val="0"/>
          <c:showVal val="0"/>
          <c:showCatName val="0"/>
          <c:showSerName val="0"/>
          <c:showPercent val="0"/>
          <c:showBubbleSize val="0"/>
        </c:dLbls>
        <c:marker val="1"/>
        <c:smooth val="0"/>
        <c:axId val="486517912"/>
        <c:axId val="486518304"/>
      </c:lineChart>
      <c:catAx>
        <c:axId val="486517912"/>
        <c:scaling>
          <c:orientation val="minMax"/>
        </c:scaling>
        <c:delete val="0"/>
        <c:axPos val="b"/>
        <c:numFmt formatCode="General" sourceLinked="0"/>
        <c:majorTickMark val="none"/>
        <c:minorTickMark val="none"/>
        <c:tickLblPos val="low"/>
        <c:txPr>
          <a:bodyPr rot="-5400000" vert="horz"/>
          <a:lstStyle/>
          <a:p>
            <a:pPr>
              <a:defRPr sz="1000" b="0" baseline="0">
                <a:latin typeface="Geomanist" panose="02000503000000020004" pitchFamily="50" charset="0"/>
              </a:defRPr>
            </a:pPr>
            <a:endParaRPr lang="en-US"/>
          </a:p>
        </c:txPr>
        <c:crossAx val="486518304"/>
        <c:crosses val="autoZero"/>
        <c:auto val="1"/>
        <c:lblAlgn val="ctr"/>
        <c:lblOffset val="100"/>
        <c:noMultiLvlLbl val="0"/>
      </c:catAx>
      <c:valAx>
        <c:axId val="486518304"/>
        <c:scaling>
          <c:orientation val="minMax"/>
        </c:scaling>
        <c:delete val="0"/>
        <c:axPos val="l"/>
        <c:majorGridlines>
          <c:spPr>
            <a:ln>
              <a:solidFill>
                <a:schemeClr val="bg1">
                  <a:lumMod val="85000"/>
                </a:schemeClr>
              </a:solidFill>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8.2744129124621892E-3"/>
              <c:y val="0.36077594846098782"/>
            </c:manualLayout>
          </c:layout>
          <c:overlay val="0"/>
        </c:title>
        <c:numFmt formatCode="#,##0.00" sourceLinked="1"/>
        <c:majorTickMark val="none"/>
        <c:minorTickMark val="none"/>
        <c:tickLblPos val="nextTo"/>
        <c:txPr>
          <a:bodyPr/>
          <a:lstStyle/>
          <a:p>
            <a:pPr>
              <a:defRPr sz="1100" b="0" baseline="0">
                <a:latin typeface="Geomanist" panose="02000503000000020004" pitchFamily="50" charset="0"/>
              </a:defRPr>
            </a:pPr>
            <a:endParaRPr lang="en-US"/>
          </a:p>
        </c:txPr>
        <c:crossAx val="486517912"/>
        <c:crosses val="autoZero"/>
        <c:crossBetween val="between"/>
      </c:valAx>
    </c:plotArea>
    <c:legend>
      <c:legendPos val="r"/>
      <c:layout>
        <c:manualLayout>
          <c:xMode val="edge"/>
          <c:yMode val="edge"/>
          <c:x val="0.22084020308567037"/>
          <c:y val="0.94087982677597659"/>
          <c:w val="0.54316980235549039"/>
          <c:h val="4.2508332855004743E-2"/>
        </c:manualLayout>
      </c:layout>
      <c:overlay val="0"/>
      <c:txPr>
        <a:bodyPr/>
        <a:lstStyle/>
        <a:p>
          <a:pPr>
            <a:defRPr sz="1200" b="1">
              <a:latin typeface="Geomanist" panose="02000503000000020004" pitchFamily="50" charset="0"/>
            </a:defRPr>
          </a:pPr>
          <a:endParaRPr lang="en-US"/>
        </a:p>
      </c:txPr>
    </c:legend>
    <c:plotVisOnly val="1"/>
    <c:dispBlanksAs val="gap"/>
    <c:showDLblsOverMax val="0"/>
  </c:char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Calibri (Body)"/>
                <a:ea typeface="+mn-ea"/>
                <a:cs typeface="+mn-cs"/>
              </a:defRPr>
            </a:pPr>
            <a:endParaRPr lang="en-US"/>
          </a:p>
        </c:rich>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Calibri (Body)"/>
              <a:ea typeface="+mn-ea"/>
              <a:cs typeface="+mn-cs"/>
            </a:defRPr>
          </a:pPr>
          <a:endParaRPr lang="en-US"/>
        </a:p>
      </c:txPr>
    </c:title>
    <c:autoTitleDeleted val="0"/>
    <c:plotArea>
      <c:layout>
        <c:manualLayout>
          <c:layoutTarget val="inner"/>
          <c:xMode val="edge"/>
          <c:yMode val="edge"/>
          <c:x val="8.2756136421363757E-2"/>
          <c:y val="8.9105105105105109E-2"/>
          <c:w val="0.90345937146419741"/>
          <c:h val="0.74561345740873297"/>
        </c:manualLayout>
      </c:layout>
      <c:barChart>
        <c:barDir val="col"/>
        <c:grouping val="stacked"/>
        <c:varyColors val="0"/>
        <c:ser>
          <c:idx val="1"/>
          <c:order val="1"/>
          <c:tx>
            <c:strRef>
              <c:f>'4.1'!$D$4</c:f>
              <c:strCache>
                <c:ptCount val="1"/>
                <c:pt idx="0">
                  <c:v>Detached</c:v>
                </c:pt>
              </c:strCache>
            </c:strRef>
          </c:tx>
          <c:spPr>
            <a:solidFill>
              <a:schemeClr val="tx1">
                <a:lumMod val="50000"/>
                <a:lumOff val="50000"/>
              </a:schemeClr>
            </a:solidFill>
            <a:ln>
              <a:solidFill>
                <a:schemeClr val="tx1">
                  <a:lumMod val="50000"/>
                  <a:lumOff val="50000"/>
                </a:schemeClr>
              </a:solidFill>
            </a:ln>
            <a:effectLst/>
          </c:spPr>
          <c:invertIfNegative val="0"/>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'4.1'!$D$5:$D$48</c:f>
              <c:numCache>
                <c:formatCode>#,##0</c:formatCode>
                <c:ptCount val="44"/>
                <c:pt idx="0">
                  <c:v>44</c:v>
                </c:pt>
                <c:pt idx="1">
                  <c:v>55</c:v>
                </c:pt>
                <c:pt idx="2">
                  <c:v>31</c:v>
                </c:pt>
                <c:pt idx="3">
                  <c:v>17</c:v>
                </c:pt>
                <c:pt idx="4">
                  <c:v>41</c:v>
                </c:pt>
                <c:pt idx="5">
                  <c:v>40</c:v>
                </c:pt>
                <c:pt idx="6">
                  <c:v>55</c:v>
                </c:pt>
                <c:pt idx="7">
                  <c:v>46</c:v>
                </c:pt>
                <c:pt idx="8">
                  <c:v>36</c:v>
                </c:pt>
                <c:pt idx="9">
                  <c:v>39</c:v>
                </c:pt>
                <c:pt idx="10">
                  <c:v>48</c:v>
                </c:pt>
                <c:pt idx="11">
                  <c:v>58</c:v>
                </c:pt>
                <c:pt idx="12">
                  <c:v>47</c:v>
                </c:pt>
                <c:pt idx="13">
                  <c:v>43</c:v>
                </c:pt>
                <c:pt idx="14">
                  <c:v>63</c:v>
                </c:pt>
                <c:pt idx="15">
                  <c:v>73</c:v>
                </c:pt>
                <c:pt idx="16">
                  <c:v>61</c:v>
                </c:pt>
                <c:pt idx="17">
                  <c:v>61</c:v>
                </c:pt>
                <c:pt idx="18">
                  <c:v>58</c:v>
                </c:pt>
                <c:pt idx="19">
                  <c:v>50</c:v>
                </c:pt>
                <c:pt idx="20">
                  <c:v>23</c:v>
                </c:pt>
                <c:pt idx="21">
                  <c:v>50</c:v>
                </c:pt>
                <c:pt idx="22">
                  <c:v>98</c:v>
                </c:pt>
                <c:pt idx="23">
                  <c:v>70</c:v>
                </c:pt>
                <c:pt idx="24">
                  <c:v>68</c:v>
                </c:pt>
                <c:pt idx="25">
                  <c:v>69</c:v>
                </c:pt>
                <c:pt idx="26">
                  <c:v>83</c:v>
                </c:pt>
                <c:pt idx="27">
                  <c:v>81</c:v>
                </c:pt>
                <c:pt idx="28">
                  <c:v>82</c:v>
                </c:pt>
                <c:pt idx="29">
                  <c:v>71</c:v>
                </c:pt>
                <c:pt idx="30">
                  <c:v>79</c:v>
                </c:pt>
                <c:pt idx="31">
                  <c:v>86</c:v>
                </c:pt>
                <c:pt idx="32">
                  <c:v>77</c:v>
                </c:pt>
                <c:pt idx="33">
                  <c:v>65</c:v>
                </c:pt>
                <c:pt idx="34">
                  <c:v>59</c:v>
                </c:pt>
                <c:pt idx="35">
                  <c:v>86</c:v>
                </c:pt>
                <c:pt idx="36">
                  <c:v>45</c:v>
                </c:pt>
                <c:pt idx="37">
                  <c:v>74</c:v>
                </c:pt>
                <c:pt idx="38">
                  <c:v>82</c:v>
                </c:pt>
                <c:pt idx="39">
                  <c:v>78</c:v>
                </c:pt>
                <c:pt idx="40">
                  <c:v>60</c:v>
                </c:pt>
                <c:pt idx="41">
                  <c:v>88</c:v>
                </c:pt>
                <c:pt idx="42">
                  <c:v>125</c:v>
                </c:pt>
                <c:pt idx="43">
                  <c:v>74</c:v>
                </c:pt>
              </c:numCache>
            </c:numRef>
          </c:val>
          <c:extLst>
            <c:ext xmlns:c16="http://schemas.microsoft.com/office/drawing/2014/chart" uri="{C3380CC4-5D6E-409C-BE32-E72D297353CC}">
              <c16:uniqueId val="{00000000-BD0C-4EC8-8D5A-C82D33B16B91}"/>
            </c:ext>
          </c:extLst>
        </c:ser>
        <c:ser>
          <c:idx val="2"/>
          <c:order val="2"/>
          <c:tx>
            <c:strRef>
              <c:f>'4.1'!$E$4</c:f>
              <c:strCache>
                <c:ptCount val="1"/>
                <c:pt idx="0">
                  <c:v>Semi-Detached</c:v>
                </c:pt>
              </c:strCache>
            </c:strRef>
          </c:tx>
          <c:spPr>
            <a:solidFill>
              <a:srgbClr val="EEE8B5"/>
            </a:solidFill>
            <a:ln>
              <a:solidFill>
                <a:srgbClr val="EEE8B5"/>
              </a:solidFill>
            </a:ln>
            <a:effectLst/>
          </c:spPr>
          <c:invertIfNegative val="0"/>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'4.1'!$E$5:$E$48</c:f>
              <c:numCache>
                <c:formatCode>#,##0</c:formatCode>
                <c:ptCount val="44"/>
                <c:pt idx="0">
                  <c:v>24</c:v>
                </c:pt>
                <c:pt idx="1">
                  <c:v>33</c:v>
                </c:pt>
                <c:pt idx="2">
                  <c:v>10</c:v>
                </c:pt>
                <c:pt idx="3">
                  <c:v>6</c:v>
                </c:pt>
                <c:pt idx="4">
                  <c:v>27</c:v>
                </c:pt>
                <c:pt idx="5">
                  <c:v>14</c:v>
                </c:pt>
                <c:pt idx="6">
                  <c:v>23</c:v>
                </c:pt>
                <c:pt idx="7">
                  <c:v>22</c:v>
                </c:pt>
                <c:pt idx="8">
                  <c:v>18</c:v>
                </c:pt>
                <c:pt idx="9">
                  <c:v>11</c:v>
                </c:pt>
                <c:pt idx="10">
                  <c:v>9</c:v>
                </c:pt>
                <c:pt idx="11">
                  <c:v>10</c:v>
                </c:pt>
                <c:pt idx="12">
                  <c:v>15</c:v>
                </c:pt>
                <c:pt idx="13">
                  <c:v>18</c:v>
                </c:pt>
                <c:pt idx="14">
                  <c:v>25</c:v>
                </c:pt>
                <c:pt idx="15">
                  <c:v>20</c:v>
                </c:pt>
                <c:pt idx="16">
                  <c:v>23</c:v>
                </c:pt>
                <c:pt idx="17">
                  <c:v>24</c:v>
                </c:pt>
                <c:pt idx="18">
                  <c:v>18</c:v>
                </c:pt>
                <c:pt idx="19">
                  <c:v>27</c:v>
                </c:pt>
                <c:pt idx="20">
                  <c:v>25</c:v>
                </c:pt>
                <c:pt idx="21">
                  <c:v>30</c:v>
                </c:pt>
                <c:pt idx="22">
                  <c:v>35</c:v>
                </c:pt>
                <c:pt idx="23">
                  <c:v>26</c:v>
                </c:pt>
                <c:pt idx="24">
                  <c:v>23</c:v>
                </c:pt>
                <c:pt idx="25">
                  <c:v>21</c:v>
                </c:pt>
                <c:pt idx="26">
                  <c:v>28</c:v>
                </c:pt>
                <c:pt idx="27">
                  <c:v>15</c:v>
                </c:pt>
                <c:pt idx="28">
                  <c:v>16</c:v>
                </c:pt>
                <c:pt idx="29">
                  <c:v>24</c:v>
                </c:pt>
                <c:pt idx="30">
                  <c:v>23</c:v>
                </c:pt>
                <c:pt idx="31">
                  <c:v>17</c:v>
                </c:pt>
                <c:pt idx="32">
                  <c:v>13</c:v>
                </c:pt>
                <c:pt idx="33">
                  <c:v>27</c:v>
                </c:pt>
                <c:pt idx="34">
                  <c:v>20</c:v>
                </c:pt>
                <c:pt idx="35">
                  <c:v>20</c:v>
                </c:pt>
                <c:pt idx="36">
                  <c:v>14</c:v>
                </c:pt>
                <c:pt idx="37">
                  <c:v>23</c:v>
                </c:pt>
                <c:pt idx="38">
                  <c:v>34</c:v>
                </c:pt>
                <c:pt idx="39">
                  <c:v>33</c:v>
                </c:pt>
                <c:pt idx="40">
                  <c:v>19</c:v>
                </c:pt>
                <c:pt idx="41">
                  <c:v>27</c:v>
                </c:pt>
                <c:pt idx="42">
                  <c:v>17</c:v>
                </c:pt>
                <c:pt idx="43">
                  <c:v>18</c:v>
                </c:pt>
              </c:numCache>
            </c:numRef>
          </c:val>
          <c:extLst>
            <c:ext xmlns:c16="http://schemas.microsoft.com/office/drawing/2014/chart" uri="{C3380CC4-5D6E-409C-BE32-E72D297353CC}">
              <c16:uniqueId val="{00000001-BD0C-4EC8-8D5A-C82D33B16B91}"/>
            </c:ext>
          </c:extLst>
        </c:ser>
        <c:ser>
          <c:idx val="3"/>
          <c:order val="3"/>
          <c:tx>
            <c:strRef>
              <c:f>'4.1'!$F$4</c:f>
              <c:strCache>
                <c:ptCount val="1"/>
                <c:pt idx="0">
                  <c:v>Terrace</c:v>
                </c:pt>
              </c:strCache>
            </c:strRef>
          </c:tx>
          <c:spPr>
            <a:solidFill>
              <a:srgbClr val="D4C029"/>
            </a:solidFill>
            <a:ln>
              <a:solidFill>
                <a:srgbClr val="D4C029"/>
              </a:solidFill>
            </a:ln>
            <a:effectLst/>
          </c:spPr>
          <c:invertIfNegative val="0"/>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'4.1'!$F$5:$F$48</c:f>
              <c:numCache>
                <c:formatCode>#,##0</c:formatCode>
                <c:ptCount val="44"/>
                <c:pt idx="0">
                  <c:v>25</c:v>
                </c:pt>
                <c:pt idx="1">
                  <c:v>23</c:v>
                </c:pt>
                <c:pt idx="2">
                  <c:v>18</c:v>
                </c:pt>
                <c:pt idx="3">
                  <c:v>10</c:v>
                </c:pt>
                <c:pt idx="4">
                  <c:v>21</c:v>
                </c:pt>
                <c:pt idx="5">
                  <c:v>16</c:v>
                </c:pt>
                <c:pt idx="6">
                  <c:v>9</c:v>
                </c:pt>
                <c:pt idx="7">
                  <c:v>21</c:v>
                </c:pt>
                <c:pt idx="8">
                  <c:v>23</c:v>
                </c:pt>
                <c:pt idx="9">
                  <c:v>11</c:v>
                </c:pt>
                <c:pt idx="10">
                  <c:v>30</c:v>
                </c:pt>
                <c:pt idx="11">
                  <c:v>20</c:v>
                </c:pt>
                <c:pt idx="12">
                  <c:v>20</c:v>
                </c:pt>
                <c:pt idx="13">
                  <c:v>18</c:v>
                </c:pt>
                <c:pt idx="14">
                  <c:v>18</c:v>
                </c:pt>
                <c:pt idx="15">
                  <c:v>25</c:v>
                </c:pt>
                <c:pt idx="16">
                  <c:v>25</c:v>
                </c:pt>
                <c:pt idx="17">
                  <c:v>30</c:v>
                </c:pt>
                <c:pt idx="18">
                  <c:v>20</c:v>
                </c:pt>
                <c:pt idx="19">
                  <c:v>21</c:v>
                </c:pt>
                <c:pt idx="20">
                  <c:v>14</c:v>
                </c:pt>
                <c:pt idx="21">
                  <c:v>19</c:v>
                </c:pt>
                <c:pt idx="22">
                  <c:v>31</c:v>
                </c:pt>
                <c:pt idx="23">
                  <c:v>24</c:v>
                </c:pt>
                <c:pt idx="24">
                  <c:v>9</c:v>
                </c:pt>
                <c:pt idx="25">
                  <c:v>7</c:v>
                </c:pt>
                <c:pt idx="26">
                  <c:v>15</c:v>
                </c:pt>
                <c:pt idx="27">
                  <c:v>24</c:v>
                </c:pt>
                <c:pt idx="28">
                  <c:v>22</c:v>
                </c:pt>
                <c:pt idx="29">
                  <c:v>25</c:v>
                </c:pt>
                <c:pt idx="30">
                  <c:v>31</c:v>
                </c:pt>
                <c:pt idx="31">
                  <c:v>24</c:v>
                </c:pt>
                <c:pt idx="32">
                  <c:v>26</c:v>
                </c:pt>
                <c:pt idx="33">
                  <c:v>33</c:v>
                </c:pt>
                <c:pt idx="34">
                  <c:v>18</c:v>
                </c:pt>
                <c:pt idx="35">
                  <c:v>28</c:v>
                </c:pt>
                <c:pt idx="36">
                  <c:v>20</c:v>
                </c:pt>
                <c:pt idx="37">
                  <c:v>26</c:v>
                </c:pt>
                <c:pt idx="38">
                  <c:v>13</c:v>
                </c:pt>
                <c:pt idx="39">
                  <c:v>29</c:v>
                </c:pt>
                <c:pt idx="40">
                  <c:v>17</c:v>
                </c:pt>
                <c:pt idx="41">
                  <c:v>18</c:v>
                </c:pt>
                <c:pt idx="42">
                  <c:v>33</c:v>
                </c:pt>
                <c:pt idx="43">
                  <c:v>25</c:v>
                </c:pt>
              </c:numCache>
            </c:numRef>
          </c:val>
          <c:extLst>
            <c:ext xmlns:c16="http://schemas.microsoft.com/office/drawing/2014/chart" uri="{C3380CC4-5D6E-409C-BE32-E72D297353CC}">
              <c16:uniqueId val="{00000002-BD0C-4EC8-8D5A-C82D33B16B91}"/>
            </c:ext>
          </c:extLst>
        </c:ser>
        <c:ser>
          <c:idx val="4"/>
          <c:order val="4"/>
          <c:tx>
            <c:strRef>
              <c:f>'4.1'!$G$4</c:f>
              <c:strCache>
                <c:ptCount val="1"/>
                <c:pt idx="0">
                  <c:v>Apartment</c:v>
                </c:pt>
              </c:strCache>
            </c:strRef>
          </c:tx>
          <c:spPr>
            <a:solidFill>
              <a:srgbClr val="509D93"/>
            </a:solidFill>
            <a:ln>
              <a:solidFill>
                <a:srgbClr val="509D93"/>
              </a:solidFill>
            </a:ln>
            <a:effectLst/>
          </c:spPr>
          <c:invertIfNegative val="0"/>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'4.1'!$G$5:$G$48</c:f>
              <c:numCache>
                <c:formatCode>#,##0</c:formatCode>
                <c:ptCount val="44"/>
                <c:pt idx="0">
                  <c:v>38</c:v>
                </c:pt>
                <c:pt idx="1">
                  <c:v>38</c:v>
                </c:pt>
                <c:pt idx="2">
                  <c:v>9</c:v>
                </c:pt>
                <c:pt idx="3">
                  <c:v>6</c:v>
                </c:pt>
                <c:pt idx="4">
                  <c:v>6</c:v>
                </c:pt>
                <c:pt idx="5">
                  <c:v>3</c:v>
                </c:pt>
                <c:pt idx="6">
                  <c:v>7</c:v>
                </c:pt>
                <c:pt idx="7">
                  <c:v>11</c:v>
                </c:pt>
                <c:pt idx="8">
                  <c:v>6</c:v>
                </c:pt>
                <c:pt idx="9">
                  <c:v>10</c:v>
                </c:pt>
                <c:pt idx="10">
                  <c:v>14</c:v>
                </c:pt>
                <c:pt idx="11">
                  <c:v>8</c:v>
                </c:pt>
                <c:pt idx="12">
                  <c:v>6</c:v>
                </c:pt>
                <c:pt idx="13">
                  <c:v>4</c:v>
                </c:pt>
                <c:pt idx="14">
                  <c:v>3</c:v>
                </c:pt>
                <c:pt idx="15">
                  <c:v>10</c:v>
                </c:pt>
                <c:pt idx="16">
                  <c:v>6</c:v>
                </c:pt>
                <c:pt idx="17">
                  <c:v>6</c:v>
                </c:pt>
                <c:pt idx="18">
                  <c:v>10</c:v>
                </c:pt>
                <c:pt idx="19">
                  <c:v>13</c:v>
                </c:pt>
                <c:pt idx="20">
                  <c:v>14</c:v>
                </c:pt>
                <c:pt idx="21">
                  <c:v>12</c:v>
                </c:pt>
                <c:pt idx="22">
                  <c:v>11</c:v>
                </c:pt>
                <c:pt idx="23">
                  <c:v>5</c:v>
                </c:pt>
                <c:pt idx="24">
                  <c:v>9</c:v>
                </c:pt>
                <c:pt idx="25">
                  <c:v>5</c:v>
                </c:pt>
                <c:pt idx="26">
                  <c:v>7</c:v>
                </c:pt>
                <c:pt idx="27">
                  <c:v>7</c:v>
                </c:pt>
                <c:pt idx="28">
                  <c:v>4</c:v>
                </c:pt>
                <c:pt idx="29">
                  <c:v>7</c:v>
                </c:pt>
                <c:pt idx="30">
                  <c:v>2</c:v>
                </c:pt>
                <c:pt idx="31">
                  <c:v>7</c:v>
                </c:pt>
                <c:pt idx="32">
                  <c:v>3</c:v>
                </c:pt>
                <c:pt idx="33">
                  <c:v>3</c:v>
                </c:pt>
                <c:pt idx="34">
                  <c:v>3</c:v>
                </c:pt>
                <c:pt idx="35">
                  <c:v>3</c:v>
                </c:pt>
                <c:pt idx="36">
                  <c:v>2</c:v>
                </c:pt>
                <c:pt idx="37">
                  <c:v>0</c:v>
                </c:pt>
                <c:pt idx="38">
                  <c:v>3</c:v>
                </c:pt>
                <c:pt idx="39">
                  <c:v>6</c:v>
                </c:pt>
                <c:pt idx="40">
                  <c:v>6</c:v>
                </c:pt>
                <c:pt idx="41">
                  <c:v>12</c:v>
                </c:pt>
                <c:pt idx="42">
                  <c:v>11</c:v>
                </c:pt>
                <c:pt idx="43">
                  <c:v>10</c:v>
                </c:pt>
              </c:numCache>
            </c:numRef>
          </c:val>
          <c:extLst>
            <c:ext xmlns:c16="http://schemas.microsoft.com/office/drawing/2014/chart" uri="{C3380CC4-5D6E-409C-BE32-E72D297353CC}">
              <c16:uniqueId val="{00000003-BD0C-4EC8-8D5A-C82D33B16B91}"/>
            </c:ext>
          </c:extLst>
        </c:ser>
        <c:ser>
          <c:idx val="5"/>
          <c:order val="5"/>
          <c:tx>
            <c:strRef>
              <c:f>'4.1'!$H$4</c:f>
              <c:strCache>
                <c:ptCount val="1"/>
                <c:pt idx="0">
                  <c:v>Land</c:v>
                </c:pt>
              </c:strCache>
            </c:strRef>
          </c:tx>
          <c:spPr>
            <a:solidFill>
              <a:srgbClr val="006E59"/>
            </a:solidFill>
            <a:ln>
              <a:solidFill>
                <a:srgbClr val="006E59"/>
              </a:solidFill>
            </a:ln>
            <a:effectLst/>
          </c:spPr>
          <c:invertIfNegative val="0"/>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'4.1'!$H$5:$H$48</c:f>
              <c:numCache>
                <c:formatCode>#,##0</c:formatCode>
                <c:ptCount val="44"/>
                <c:pt idx="0">
                  <c:v>0</c:v>
                </c:pt>
                <c:pt idx="1">
                  <c:v>4</c:v>
                </c:pt>
                <c:pt idx="2">
                  <c:v>4</c:v>
                </c:pt>
                <c:pt idx="3">
                  <c:v>3</c:v>
                </c:pt>
                <c:pt idx="4">
                  <c:v>2</c:v>
                </c:pt>
                <c:pt idx="5">
                  <c:v>2</c:v>
                </c:pt>
                <c:pt idx="6">
                  <c:v>6</c:v>
                </c:pt>
                <c:pt idx="7">
                  <c:v>6</c:v>
                </c:pt>
                <c:pt idx="8">
                  <c:v>1</c:v>
                </c:pt>
                <c:pt idx="9">
                  <c:v>1</c:v>
                </c:pt>
                <c:pt idx="10">
                  <c:v>3</c:v>
                </c:pt>
                <c:pt idx="11">
                  <c:v>1</c:v>
                </c:pt>
                <c:pt idx="12">
                  <c:v>4</c:v>
                </c:pt>
                <c:pt idx="13">
                  <c:v>1</c:v>
                </c:pt>
                <c:pt idx="14">
                  <c:v>1</c:v>
                </c:pt>
                <c:pt idx="15">
                  <c:v>1</c:v>
                </c:pt>
                <c:pt idx="16">
                  <c:v>0</c:v>
                </c:pt>
                <c:pt idx="17">
                  <c:v>2</c:v>
                </c:pt>
                <c:pt idx="18">
                  <c:v>1</c:v>
                </c:pt>
                <c:pt idx="19">
                  <c:v>0</c:v>
                </c:pt>
                <c:pt idx="20">
                  <c:v>0</c:v>
                </c:pt>
                <c:pt idx="21">
                  <c:v>4</c:v>
                </c:pt>
                <c:pt idx="22">
                  <c:v>7</c:v>
                </c:pt>
                <c:pt idx="23">
                  <c:v>6</c:v>
                </c:pt>
                <c:pt idx="24">
                  <c:v>3</c:v>
                </c:pt>
                <c:pt idx="25">
                  <c:v>3</c:v>
                </c:pt>
                <c:pt idx="26">
                  <c:v>0</c:v>
                </c:pt>
                <c:pt idx="27">
                  <c:v>2</c:v>
                </c:pt>
                <c:pt idx="28">
                  <c:v>0</c:v>
                </c:pt>
                <c:pt idx="29">
                  <c:v>3</c:v>
                </c:pt>
                <c:pt idx="30">
                  <c:v>0</c:v>
                </c:pt>
                <c:pt idx="31">
                  <c:v>1</c:v>
                </c:pt>
                <c:pt idx="32">
                  <c:v>3</c:v>
                </c:pt>
                <c:pt idx="33">
                  <c:v>1</c:v>
                </c:pt>
                <c:pt idx="34">
                  <c:v>0</c:v>
                </c:pt>
                <c:pt idx="35">
                  <c:v>0</c:v>
                </c:pt>
                <c:pt idx="36">
                  <c:v>0</c:v>
                </c:pt>
                <c:pt idx="37">
                  <c:v>0</c:v>
                </c:pt>
                <c:pt idx="38">
                  <c:v>2</c:v>
                </c:pt>
                <c:pt idx="39">
                  <c:v>1</c:v>
                </c:pt>
                <c:pt idx="40">
                  <c:v>1</c:v>
                </c:pt>
                <c:pt idx="41">
                  <c:v>1</c:v>
                </c:pt>
                <c:pt idx="42">
                  <c:v>1</c:v>
                </c:pt>
                <c:pt idx="43">
                  <c:v>1</c:v>
                </c:pt>
              </c:numCache>
            </c:numRef>
          </c:val>
          <c:extLst>
            <c:ext xmlns:c16="http://schemas.microsoft.com/office/drawing/2014/chart" uri="{C3380CC4-5D6E-409C-BE32-E72D297353CC}">
              <c16:uniqueId val="{00000004-BD0C-4EC8-8D5A-C82D33B16B91}"/>
            </c:ext>
          </c:extLst>
        </c:ser>
        <c:dLbls>
          <c:showLegendKey val="0"/>
          <c:showVal val="0"/>
          <c:showCatName val="0"/>
          <c:showSerName val="0"/>
          <c:showPercent val="0"/>
          <c:showBubbleSize val="0"/>
        </c:dLbls>
        <c:gapWidth val="150"/>
        <c:overlap val="100"/>
        <c:axId val="391853359"/>
        <c:axId val="391831727"/>
      </c:barChart>
      <c:lineChart>
        <c:grouping val="standard"/>
        <c:varyColors val="0"/>
        <c:ser>
          <c:idx val="0"/>
          <c:order val="0"/>
          <c:tx>
            <c:strRef>
              <c:f>'4.1'!$C$4</c:f>
              <c:strCache>
                <c:ptCount val="1"/>
                <c:pt idx="0">
                  <c:v>Total</c:v>
                </c:pt>
              </c:strCache>
            </c:strRef>
          </c:tx>
          <c:spPr>
            <a:ln w="22225" cap="rnd">
              <a:solidFill>
                <a:schemeClr val="tx1">
                  <a:lumMod val="75000"/>
                  <a:lumOff val="25000"/>
                </a:schemeClr>
              </a:solidFill>
              <a:round/>
            </a:ln>
            <a:effectLst/>
          </c:spPr>
          <c:marker>
            <c:symbol val="square"/>
            <c:size val="5"/>
            <c:spPr>
              <a:solidFill>
                <a:schemeClr val="tx1">
                  <a:lumMod val="65000"/>
                  <a:lumOff val="35000"/>
                </a:schemeClr>
              </a:solidFill>
              <a:ln w="9525">
                <a:solidFill>
                  <a:schemeClr val="tx1">
                    <a:lumMod val="75000"/>
                    <a:lumOff val="25000"/>
                  </a:schemeClr>
                </a:solidFill>
              </a:ln>
              <a:effectLst/>
            </c:spPr>
          </c:marker>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'4.1'!$C$5:$C$48</c:f>
              <c:numCache>
                <c:formatCode>#,##0</c:formatCode>
                <c:ptCount val="44"/>
                <c:pt idx="0">
                  <c:v>131</c:v>
                </c:pt>
                <c:pt idx="1">
                  <c:v>153</c:v>
                </c:pt>
                <c:pt idx="2">
                  <c:v>72</c:v>
                </c:pt>
                <c:pt idx="3">
                  <c:v>42</c:v>
                </c:pt>
                <c:pt idx="4">
                  <c:v>97</c:v>
                </c:pt>
                <c:pt idx="5">
                  <c:v>75</c:v>
                </c:pt>
                <c:pt idx="6">
                  <c:v>100</c:v>
                </c:pt>
                <c:pt idx="7">
                  <c:v>106</c:v>
                </c:pt>
                <c:pt idx="8">
                  <c:v>84</c:v>
                </c:pt>
                <c:pt idx="9">
                  <c:v>72</c:v>
                </c:pt>
                <c:pt idx="10">
                  <c:v>104</c:v>
                </c:pt>
                <c:pt idx="11">
                  <c:v>97</c:v>
                </c:pt>
                <c:pt idx="12">
                  <c:v>92</c:v>
                </c:pt>
                <c:pt idx="13">
                  <c:v>84</c:v>
                </c:pt>
                <c:pt idx="14">
                  <c:v>110</c:v>
                </c:pt>
                <c:pt idx="15">
                  <c:v>129</c:v>
                </c:pt>
                <c:pt idx="16">
                  <c:v>115</c:v>
                </c:pt>
                <c:pt idx="17">
                  <c:v>123</c:v>
                </c:pt>
                <c:pt idx="18">
                  <c:v>107</c:v>
                </c:pt>
                <c:pt idx="19">
                  <c:v>111</c:v>
                </c:pt>
                <c:pt idx="20">
                  <c:v>76</c:v>
                </c:pt>
                <c:pt idx="21">
                  <c:v>115</c:v>
                </c:pt>
                <c:pt idx="22">
                  <c:v>182</c:v>
                </c:pt>
                <c:pt idx="23">
                  <c:v>131</c:v>
                </c:pt>
                <c:pt idx="24">
                  <c:v>112</c:v>
                </c:pt>
                <c:pt idx="25">
                  <c:v>105</c:v>
                </c:pt>
                <c:pt idx="26">
                  <c:v>133</c:v>
                </c:pt>
                <c:pt idx="27">
                  <c:v>129</c:v>
                </c:pt>
                <c:pt idx="28">
                  <c:v>124</c:v>
                </c:pt>
                <c:pt idx="29">
                  <c:v>130</c:v>
                </c:pt>
                <c:pt idx="30">
                  <c:v>135</c:v>
                </c:pt>
                <c:pt idx="31">
                  <c:v>135</c:v>
                </c:pt>
                <c:pt idx="32">
                  <c:v>122</c:v>
                </c:pt>
                <c:pt idx="33">
                  <c:v>129</c:v>
                </c:pt>
                <c:pt idx="34">
                  <c:v>100</c:v>
                </c:pt>
                <c:pt idx="35">
                  <c:v>137</c:v>
                </c:pt>
                <c:pt idx="36">
                  <c:v>81</c:v>
                </c:pt>
                <c:pt idx="37">
                  <c:v>123</c:v>
                </c:pt>
                <c:pt idx="38">
                  <c:v>134</c:v>
                </c:pt>
                <c:pt idx="39">
                  <c:v>147</c:v>
                </c:pt>
                <c:pt idx="40">
                  <c:v>103</c:v>
                </c:pt>
                <c:pt idx="41">
                  <c:v>146</c:v>
                </c:pt>
                <c:pt idx="42">
                  <c:v>187</c:v>
                </c:pt>
                <c:pt idx="43">
                  <c:v>128</c:v>
                </c:pt>
              </c:numCache>
            </c:numRef>
          </c:val>
          <c:smooth val="0"/>
          <c:extLst>
            <c:ext xmlns:c16="http://schemas.microsoft.com/office/drawing/2014/chart" uri="{C3380CC4-5D6E-409C-BE32-E72D297353CC}">
              <c16:uniqueId val="{00000005-BD0C-4EC8-8D5A-C82D33B16B91}"/>
            </c:ext>
          </c:extLst>
        </c:ser>
        <c:dLbls>
          <c:showLegendKey val="0"/>
          <c:showVal val="0"/>
          <c:showCatName val="0"/>
          <c:showSerName val="0"/>
          <c:showPercent val="0"/>
          <c:showBubbleSize val="0"/>
        </c:dLbls>
        <c:marker val="1"/>
        <c:smooth val="0"/>
        <c:axId val="391853359"/>
        <c:axId val="391831727"/>
      </c:lineChart>
      <c:catAx>
        <c:axId val="391853359"/>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Geomanist" panose="02000503000000020004" pitchFamily="50" charset="0"/>
                <a:ea typeface="+mn-ea"/>
                <a:cs typeface="+mn-cs"/>
              </a:defRPr>
            </a:pPr>
            <a:endParaRPr lang="en-US"/>
          </a:p>
        </c:txPr>
        <c:crossAx val="391831727"/>
        <c:crosses val="autoZero"/>
        <c:auto val="1"/>
        <c:lblAlgn val="ctr"/>
        <c:lblOffset val="100"/>
        <c:noMultiLvlLbl val="0"/>
      </c:catAx>
      <c:valAx>
        <c:axId val="391831727"/>
        <c:scaling>
          <c:orientation val="minMax"/>
          <c:max val="200"/>
          <c:min val="0"/>
        </c:scaling>
        <c:delete val="0"/>
        <c:axPos val="l"/>
        <c:majorGridlines>
          <c:spPr>
            <a:ln w="6350"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r>
                  <a:rPr lang="en-US" sz="1200">
                    <a:latin typeface="Heuristica" panose="02020603050705020204" pitchFamily="18" charset="0"/>
                  </a:rPr>
                  <a:t>Number of Transactions</a:t>
                </a:r>
              </a:p>
            </c:rich>
          </c:tx>
          <c:layout>
            <c:manualLayout>
              <c:xMode val="edge"/>
              <c:yMode val="edge"/>
              <c:x val="1.1775694460479828E-2"/>
              <c:y val="0.30389580847848563"/>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391853359"/>
        <c:crosses val="autoZero"/>
        <c:crossBetween val="between"/>
        <c:majorUnit val="20"/>
        <c:minorUnit val="5"/>
      </c:valAx>
      <c:spPr>
        <a:noFill/>
        <a:ln w="19050">
          <a:noFill/>
        </a:ln>
        <a:effectLst/>
      </c:spPr>
    </c:plotArea>
    <c:legend>
      <c:legendPos val="b"/>
      <c:layout>
        <c:manualLayout>
          <c:xMode val="edge"/>
          <c:yMode val="edge"/>
          <c:x val="0.16636074999422723"/>
          <c:y val="0.9451419708900024"/>
          <c:w val="0.73660745872995914"/>
          <c:h val="4.3462723656226623E-2"/>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i="0" baseline="0">
          <a:solidFill>
            <a:sysClr val="windowText" lastClr="000000"/>
          </a:solidFill>
          <a:latin typeface="Calibri (Body)"/>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2.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sheetViews>
    <sheetView workbookViewId="0"/>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700-000000000000}">
  <sheetPr/>
  <sheetViews>
    <sheetView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sheetViews>
    <sheetView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000-000000000000}">
  <sheetPr/>
  <sheetViews>
    <sheetView workbookViewId="0"/>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200-000000000000}">
  <sheetPr/>
  <sheetViews>
    <sheetView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600-000000000000}">
  <sheetPr/>
  <sheetViews>
    <sheetView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800-000000000000}">
  <sheetPr/>
  <sheetViews>
    <sheetView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sheetViews>
    <sheetView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sheetViews>
    <sheetView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8" Type="http://schemas.openxmlformats.org/officeDocument/2006/relationships/chart" Target="../charts/chart21.xml"/><Relationship Id="rId3" Type="http://schemas.openxmlformats.org/officeDocument/2006/relationships/chart" Target="../charts/chart16.xml"/><Relationship Id="rId7" Type="http://schemas.openxmlformats.org/officeDocument/2006/relationships/chart" Target="../charts/chart20.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11" Type="http://schemas.openxmlformats.org/officeDocument/2006/relationships/chart" Target="../charts/chart24.xml"/><Relationship Id="rId5" Type="http://schemas.openxmlformats.org/officeDocument/2006/relationships/chart" Target="../charts/chart18.xml"/><Relationship Id="rId10" Type="http://schemas.openxmlformats.org/officeDocument/2006/relationships/chart" Target="../charts/chart23.xml"/><Relationship Id="rId4" Type="http://schemas.openxmlformats.org/officeDocument/2006/relationships/chart" Target="../charts/chart17.xml"/><Relationship Id="rId9" Type="http://schemas.openxmlformats.org/officeDocument/2006/relationships/chart" Target="../charts/chart2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0.23308</cdr:x>
      <cdr:y>0.03964</cdr:y>
    </cdr:from>
    <cdr:to>
      <cdr:x>0.86372</cdr:x>
      <cdr:y>0.14595</cdr:y>
    </cdr:to>
    <cdr:sp macro="" textlink="">
      <cdr:nvSpPr>
        <cdr:cNvPr id="2" name="TextBox 1"/>
        <cdr:cNvSpPr txBox="1"/>
      </cdr:nvSpPr>
      <cdr:spPr>
        <a:xfrm xmlns:a="http://schemas.openxmlformats.org/drawingml/2006/main">
          <a:off x="2362202" y="209551"/>
          <a:ext cx="6391274" cy="5619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0.13428</cdr:x>
      <cdr:y>0.00611</cdr:y>
    </cdr:from>
    <cdr:to>
      <cdr:x>0.86584</cdr:x>
      <cdr:y>0.06578</cdr:y>
    </cdr:to>
    <cdr:sp macro="" textlink="">
      <cdr:nvSpPr>
        <cdr:cNvPr id="3" name="TextBox 2"/>
        <cdr:cNvSpPr txBox="1"/>
      </cdr:nvSpPr>
      <cdr:spPr>
        <a:xfrm xmlns:a="http://schemas.openxmlformats.org/drawingml/2006/main">
          <a:off x="1163014" y="38405"/>
          <a:ext cx="6336336" cy="37511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000" b="1">
              <a:solidFill>
                <a:srgbClr val="006E59"/>
              </a:solidFill>
              <a:latin typeface="Heuristica" panose="02020603050705020204" pitchFamily="18" charset="0"/>
            </a:rPr>
            <a:t>Chart 4.1: </a:t>
          </a:r>
          <a:r>
            <a:rPr lang="en-US" sz="2000" b="1">
              <a:solidFill>
                <a:srgbClr val="D4C029"/>
              </a:solidFill>
              <a:latin typeface="Heuristica" panose="02020603050705020204" pitchFamily="18" charset="0"/>
            </a:rPr>
            <a:t>Number of Transactions</a:t>
          </a:r>
          <a:r>
            <a:rPr lang="en-US" sz="2000" b="1" baseline="0">
              <a:solidFill>
                <a:srgbClr val="D4C029"/>
              </a:solidFill>
              <a:latin typeface="Heuristica" panose="02020603050705020204" pitchFamily="18" charset="0"/>
            </a:rPr>
            <a:t> by Property Type</a:t>
          </a:r>
          <a:endParaRPr lang="en-US" sz="2000" b="1">
            <a:solidFill>
              <a:srgbClr val="D4C029"/>
            </a:solidFill>
            <a:latin typeface="Heuristica" panose="02020603050705020204" pitchFamily="18"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twoCellAnchor>
    <xdr:from>
      <xdr:col>0</xdr:col>
      <xdr:colOff>565148</xdr:colOff>
      <xdr:row>1</xdr:row>
      <xdr:rowOff>165099</xdr:rowOff>
    </xdr:from>
    <xdr:to>
      <xdr:col>16</xdr:col>
      <xdr:colOff>323849</xdr:colOff>
      <xdr:row>42</xdr:row>
      <xdr:rowOff>0</xdr:rowOff>
    </xdr:to>
    <xdr:graphicFrame macro="">
      <xdr:nvGraphicFramePr>
        <xdr:cNvPr id="2" name="Chart 1">
          <a:extLst>
            <a:ext uri="{FF2B5EF4-FFF2-40B4-BE49-F238E27FC236}">
              <a16:creationId xmlns:a16="http://schemas.microsoft.com/office/drawing/2014/main" id="{D58AC723-D4D4-4D1C-83FD-8D5D02155E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2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0.84604</cdr:x>
      <cdr:y>0.09798</cdr:y>
    </cdr:from>
    <cdr:to>
      <cdr:x>0.95015</cdr:x>
      <cdr:y>0.16869</cdr:y>
    </cdr:to>
    <cdr:sp macro="" textlink="">
      <cdr:nvSpPr>
        <cdr:cNvPr id="2" name="TextBox 1">
          <a:extLst xmlns:a="http://schemas.openxmlformats.org/drawingml/2006/main">
            <a:ext uri="{FF2B5EF4-FFF2-40B4-BE49-F238E27FC236}">
              <a16:creationId xmlns:a16="http://schemas.microsoft.com/office/drawing/2014/main" id="{BFBF5478-19EE-E195-2AA5-1C128DB0F0A3}"/>
            </a:ext>
          </a:extLst>
        </cdr:cNvPr>
        <cdr:cNvSpPr txBox="1"/>
      </cdr:nvSpPr>
      <cdr:spPr>
        <a:xfrm xmlns:a="http://schemas.openxmlformats.org/drawingml/2006/main">
          <a:off x="7327900" y="615950"/>
          <a:ext cx="901700" cy="444500"/>
        </a:xfrm>
        <a:prstGeom xmlns:a="http://schemas.openxmlformats.org/drawingml/2006/main" prst="rect">
          <a:avLst/>
        </a:prstGeom>
        <a:ln xmlns:a="http://schemas.openxmlformats.org/drawingml/2006/main" w="3175"/>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US" sz="1100" b="1" kern="1200"/>
            <a:t>March 2026,</a:t>
          </a:r>
        </a:p>
        <a:p xmlns:a="http://schemas.openxmlformats.org/drawingml/2006/main">
          <a:pPr algn="ctr"/>
          <a:r>
            <a:rPr lang="en-US" sz="1100" b="1" kern="1200"/>
            <a:t> 76.2</a:t>
          </a:r>
        </a:p>
      </cdr:txBody>
    </cdr:sp>
  </cdr:relSizeAnchor>
  <cdr:relSizeAnchor xmlns:cdr="http://schemas.openxmlformats.org/drawingml/2006/chartDrawing">
    <cdr:from>
      <cdr:x>0.94501</cdr:x>
      <cdr:y>0.17071</cdr:y>
    </cdr:from>
    <cdr:to>
      <cdr:x>0.97727</cdr:x>
      <cdr:y>0.20707</cdr:y>
    </cdr:to>
    <cdr:cxnSp macro="">
      <cdr:nvCxnSpPr>
        <cdr:cNvPr id="6" name="Straight Arrow Connector 5">
          <a:extLst xmlns:a="http://schemas.openxmlformats.org/drawingml/2006/main">
            <a:ext uri="{FF2B5EF4-FFF2-40B4-BE49-F238E27FC236}">
              <a16:creationId xmlns:a16="http://schemas.microsoft.com/office/drawing/2014/main" id="{6A337390-4C2C-C804-6D9B-37EB6AF83808}"/>
            </a:ext>
          </a:extLst>
        </cdr:cNvPr>
        <cdr:cNvCxnSpPr/>
      </cdr:nvCxnSpPr>
      <cdr:spPr>
        <a:xfrm xmlns:a="http://schemas.openxmlformats.org/drawingml/2006/main">
          <a:off x="8185150" y="1073150"/>
          <a:ext cx="279400" cy="228600"/>
        </a:xfrm>
        <a:prstGeom xmlns:a="http://schemas.openxmlformats.org/drawingml/2006/main" prst="straightConnector1">
          <a:avLst/>
        </a:prstGeom>
        <a:ln xmlns:a="http://schemas.openxmlformats.org/drawingml/2006/main">
          <a:tailEnd type="triangle"/>
        </a:l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0.93255</cdr:x>
      <cdr:y>0.40303</cdr:y>
    </cdr:from>
    <cdr:to>
      <cdr:x>0.97727</cdr:x>
      <cdr:y>0.54242</cdr:y>
    </cdr:to>
    <cdr:cxnSp macro="">
      <cdr:nvCxnSpPr>
        <cdr:cNvPr id="9" name="Straight Arrow Connector 8">
          <a:extLst xmlns:a="http://schemas.openxmlformats.org/drawingml/2006/main">
            <a:ext uri="{FF2B5EF4-FFF2-40B4-BE49-F238E27FC236}">
              <a16:creationId xmlns:a16="http://schemas.microsoft.com/office/drawing/2014/main" id="{510370F3-93BF-9A09-6ECC-3B2AAFD3BEB9}"/>
            </a:ext>
          </a:extLst>
        </cdr:cNvPr>
        <cdr:cNvCxnSpPr/>
      </cdr:nvCxnSpPr>
      <cdr:spPr>
        <a:xfrm xmlns:a="http://schemas.openxmlformats.org/drawingml/2006/main" flipH="1">
          <a:off x="8077200" y="2533650"/>
          <a:ext cx="387350" cy="876300"/>
        </a:xfrm>
        <a:prstGeom xmlns:a="http://schemas.openxmlformats.org/drawingml/2006/main" prst="straightConnector1">
          <a:avLst/>
        </a:prstGeom>
        <a:ln xmlns:a="http://schemas.openxmlformats.org/drawingml/2006/main">
          <a:tailEnd type="triangle"/>
        </a:ln>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0.83724</cdr:x>
      <cdr:y>0.57273</cdr:y>
    </cdr:from>
    <cdr:to>
      <cdr:x>0.94282</cdr:x>
      <cdr:y>0.71818</cdr:y>
    </cdr:to>
    <cdr:sp macro="" textlink="">
      <cdr:nvSpPr>
        <cdr:cNvPr id="16" name="TextBox 15">
          <a:extLst xmlns:a="http://schemas.openxmlformats.org/drawingml/2006/main">
            <a:ext uri="{FF2B5EF4-FFF2-40B4-BE49-F238E27FC236}">
              <a16:creationId xmlns:a16="http://schemas.microsoft.com/office/drawing/2014/main" id="{09A20938-FAA3-8C3A-478A-2120DC6EBA10}"/>
            </a:ext>
          </a:extLst>
        </cdr:cNvPr>
        <cdr:cNvSpPr txBox="1"/>
      </cdr:nvSpPr>
      <cdr:spPr>
        <a:xfrm xmlns:a="http://schemas.openxmlformats.org/drawingml/2006/main">
          <a:off x="7251700" y="36004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kern="1200"/>
        </a:p>
      </cdr:txBody>
    </cdr:sp>
  </cdr:relSizeAnchor>
  <cdr:relSizeAnchor xmlns:cdr="http://schemas.openxmlformats.org/drawingml/2006/chartDrawing">
    <cdr:from>
      <cdr:x>0.84824</cdr:x>
      <cdr:y>0.53939</cdr:y>
    </cdr:from>
    <cdr:to>
      <cdr:x>0.95308</cdr:x>
      <cdr:y>0.61111</cdr:y>
    </cdr:to>
    <cdr:sp macro="" textlink="">
      <cdr:nvSpPr>
        <cdr:cNvPr id="17" name="TextBox 16">
          <a:extLst xmlns:a="http://schemas.openxmlformats.org/drawingml/2006/main">
            <a:ext uri="{FF2B5EF4-FFF2-40B4-BE49-F238E27FC236}">
              <a16:creationId xmlns:a16="http://schemas.microsoft.com/office/drawing/2014/main" id="{EAFAC7AD-F095-6BE7-9998-E31A3F4391A4}"/>
            </a:ext>
          </a:extLst>
        </cdr:cNvPr>
        <cdr:cNvSpPr txBox="1"/>
      </cdr:nvSpPr>
      <cdr:spPr>
        <a:xfrm xmlns:a="http://schemas.openxmlformats.org/drawingml/2006/main">
          <a:off x="7346950" y="3390900"/>
          <a:ext cx="908050" cy="450850"/>
        </a:xfrm>
        <a:prstGeom xmlns:a="http://schemas.openxmlformats.org/drawingml/2006/main" prst="rect">
          <a:avLst/>
        </a:prstGeom>
        <a:ln xmlns:a="http://schemas.openxmlformats.org/drawingml/2006/main" w="3175"/>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vertOverflow="clip" wrap="square" rtlCol="0"/>
        <a:lstStyle xmlns:a="http://schemas.openxmlformats.org/drawingml/2006/main"/>
        <a:p xmlns:a="http://schemas.openxmlformats.org/drawingml/2006/main">
          <a:r>
            <a:rPr lang="en-US" sz="1100" kern="1200"/>
            <a:t>March</a:t>
          </a:r>
          <a:r>
            <a:rPr lang="en-US" sz="1100" kern="1200" baseline="0"/>
            <a:t> </a:t>
          </a:r>
          <a:r>
            <a:rPr lang="en-US" sz="1100" kern="1200"/>
            <a:t>2026</a:t>
          </a:r>
          <a:r>
            <a:rPr lang="en-US" sz="1100" kern="1200" baseline="0"/>
            <a:t> </a:t>
          </a:r>
          <a:r>
            <a:rPr lang="en-US" sz="1100" kern="1200"/>
            <a:t>52.6</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0</xdr:colOff>
      <xdr:row>3</xdr:row>
      <xdr:rowOff>20320</xdr:rowOff>
    </xdr:from>
    <xdr:to>
      <xdr:col>7</xdr:col>
      <xdr:colOff>409575</xdr:colOff>
      <xdr:row>17</xdr:row>
      <xdr:rowOff>134620</xdr:rowOff>
    </xdr:to>
    <xdr:graphicFrame macro="">
      <xdr:nvGraphicFramePr>
        <xdr:cNvPr id="3" name="Chart 2">
          <a:extLst>
            <a:ext uri="{FF2B5EF4-FFF2-40B4-BE49-F238E27FC236}">
              <a16:creationId xmlns:a16="http://schemas.microsoft.com/office/drawing/2014/main" id="{45972862-CAB3-4103-8EF4-F0FEE449E6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439420</xdr:colOff>
      <xdr:row>3</xdr:row>
      <xdr:rowOff>25136</xdr:rowOff>
    </xdr:from>
    <xdr:to>
      <xdr:col>15</xdr:col>
      <xdr:colOff>248794</xdr:colOff>
      <xdr:row>17</xdr:row>
      <xdr:rowOff>139436</xdr:rowOff>
    </xdr:to>
    <xdr:graphicFrame macro="">
      <xdr:nvGraphicFramePr>
        <xdr:cNvPr id="4" name="Chart 3">
          <a:extLst>
            <a:ext uri="{FF2B5EF4-FFF2-40B4-BE49-F238E27FC236}">
              <a16:creationId xmlns:a16="http://schemas.microsoft.com/office/drawing/2014/main" id="{6DF932DC-8211-4108-A46E-BAC2A9900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297809</xdr:colOff>
      <xdr:row>3</xdr:row>
      <xdr:rowOff>9769</xdr:rowOff>
    </xdr:from>
    <xdr:to>
      <xdr:col>23</xdr:col>
      <xdr:colOff>96726</xdr:colOff>
      <xdr:row>17</xdr:row>
      <xdr:rowOff>130419</xdr:rowOff>
    </xdr:to>
    <xdr:graphicFrame macro="">
      <xdr:nvGraphicFramePr>
        <xdr:cNvPr id="5" name="Chart 4">
          <a:extLst>
            <a:ext uri="{FF2B5EF4-FFF2-40B4-BE49-F238E27FC236}">
              <a16:creationId xmlns:a16="http://schemas.microsoft.com/office/drawing/2014/main" id="{E87BCC8D-054A-4CB5-8B2B-255C4A4DB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140339</xdr:colOff>
      <xdr:row>3</xdr:row>
      <xdr:rowOff>13631</xdr:rowOff>
    </xdr:from>
    <xdr:to>
      <xdr:col>30</xdr:col>
      <xdr:colOff>549832</xdr:colOff>
      <xdr:row>17</xdr:row>
      <xdr:rowOff>134281</xdr:rowOff>
    </xdr:to>
    <xdr:graphicFrame macro="">
      <xdr:nvGraphicFramePr>
        <xdr:cNvPr id="6" name="Chart 5">
          <a:extLst>
            <a:ext uri="{FF2B5EF4-FFF2-40B4-BE49-F238E27FC236}">
              <a16:creationId xmlns:a16="http://schemas.microsoft.com/office/drawing/2014/main" id="{F945CA74-FC38-4928-9FEA-1515D01F75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17</xdr:row>
      <xdr:rowOff>154807</xdr:rowOff>
    </xdr:from>
    <xdr:to>
      <xdr:col>7</xdr:col>
      <xdr:colOff>408517</xdr:colOff>
      <xdr:row>32</xdr:row>
      <xdr:rowOff>91307</xdr:rowOff>
    </xdr:to>
    <xdr:graphicFrame macro="">
      <xdr:nvGraphicFramePr>
        <xdr:cNvPr id="7" name="Chart 6">
          <a:extLst>
            <a:ext uri="{FF2B5EF4-FFF2-40B4-BE49-F238E27FC236}">
              <a16:creationId xmlns:a16="http://schemas.microsoft.com/office/drawing/2014/main" id="{13AC1583-C478-4DE1-B5D6-501B475906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436695</xdr:colOff>
      <xdr:row>17</xdr:row>
      <xdr:rowOff>158258</xdr:rowOff>
    </xdr:from>
    <xdr:to>
      <xdr:col>15</xdr:col>
      <xdr:colOff>250428</xdr:colOff>
      <xdr:row>32</xdr:row>
      <xdr:rowOff>94758</xdr:rowOff>
    </xdr:to>
    <xdr:graphicFrame macro="">
      <xdr:nvGraphicFramePr>
        <xdr:cNvPr id="8" name="Chart 7">
          <a:extLst>
            <a:ext uri="{FF2B5EF4-FFF2-40B4-BE49-F238E27FC236}">
              <a16:creationId xmlns:a16="http://schemas.microsoft.com/office/drawing/2014/main" id="{72A2A345-0453-4FE3-8EEA-D9C3C5DEF5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290132</xdr:colOff>
      <xdr:row>17</xdr:row>
      <xdr:rowOff>163338</xdr:rowOff>
    </xdr:from>
    <xdr:to>
      <xdr:col>23</xdr:col>
      <xdr:colOff>89049</xdr:colOff>
      <xdr:row>32</xdr:row>
      <xdr:rowOff>99838</xdr:rowOff>
    </xdr:to>
    <xdr:graphicFrame macro="">
      <xdr:nvGraphicFramePr>
        <xdr:cNvPr id="9" name="Chart 8">
          <a:extLst>
            <a:ext uri="{FF2B5EF4-FFF2-40B4-BE49-F238E27FC236}">
              <a16:creationId xmlns:a16="http://schemas.microsoft.com/office/drawing/2014/main" id="{B4BD8F53-6CC3-4578-8E46-4F4FABACD4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135745</xdr:colOff>
      <xdr:row>17</xdr:row>
      <xdr:rowOff>159319</xdr:rowOff>
    </xdr:from>
    <xdr:to>
      <xdr:col>30</xdr:col>
      <xdr:colOff>545238</xdr:colOff>
      <xdr:row>32</xdr:row>
      <xdr:rowOff>95819</xdr:rowOff>
    </xdr:to>
    <xdr:graphicFrame macro="">
      <xdr:nvGraphicFramePr>
        <xdr:cNvPr id="10" name="Chart 9">
          <a:extLst>
            <a:ext uri="{FF2B5EF4-FFF2-40B4-BE49-F238E27FC236}">
              <a16:creationId xmlns:a16="http://schemas.microsoft.com/office/drawing/2014/main" id="{FF829A58-3846-4EDC-A806-5DE6E3F7D5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4884</xdr:colOff>
      <xdr:row>32</xdr:row>
      <xdr:rowOff>126420</xdr:rowOff>
    </xdr:from>
    <xdr:to>
      <xdr:col>7</xdr:col>
      <xdr:colOff>413401</xdr:colOff>
      <xdr:row>47</xdr:row>
      <xdr:rowOff>62920</xdr:rowOff>
    </xdr:to>
    <xdr:graphicFrame macro="">
      <xdr:nvGraphicFramePr>
        <xdr:cNvPr id="11" name="Chart 10">
          <a:extLst>
            <a:ext uri="{FF2B5EF4-FFF2-40B4-BE49-F238E27FC236}">
              <a16:creationId xmlns:a16="http://schemas.microsoft.com/office/drawing/2014/main" id="{1E006EA2-EC73-4A69-B040-E79264710D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436439</xdr:colOff>
      <xdr:row>32</xdr:row>
      <xdr:rowOff>120151</xdr:rowOff>
    </xdr:from>
    <xdr:to>
      <xdr:col>15</xdr:col>
      <xdr:colOff>250172</xdr:colOff>
      <xdr:row>47</xdr:row>
      <xdr:rowOff>56651</xdr:rowOff>
    </xdr:to>
    <xdr:graphicFrame macro="">
      <xdr:nvGraphicFramePr>
        <xdr:cNvPr id="12" name="Chart 11">
          <a:extLst>
            <a:ext uri="{FF2B5EF4-FFF2-40B4-BE49-F238E27FC236}">
              <a16:creationId xmlns:a16="http://schemas.microsoft.com/office/drawing/2014/main" id="{34F1A94A-204D-4A16-BE6D-3D6309E844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290108</xdr:colOff>
      <xdr:row>32</xdr:row>
      <xdr:rowOff>121330</xdr:rowOff>
    </xdr:from>
    <xdr:to>
      <xdr:col>23</xdr:col>
      <xdr:colOff>103842</xdr:colOff>
      <xdr:row>47</xdr:row>
      <xdr:rowOff>57830</xdr:rowOff>
    </xdr:to>
    <xdr:graphicFrame macro="">
      <xdr:nvGraphicFramePr>
        <xdr:cNvPr id="13" name="Chart 12">
          <a:extLst>
            <a:ext uri="{FF2B5EF4-FFF2-40B4-BE49-F238E27FC236}">
              <a16:creationId xmlns:a16="http://schemas.microsoft.com/office/drawing/2014/main" id="{05D5A753-C717-49B7-88D3-03E83F5A8F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7.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3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3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
  <sheetViews>
    <sheetView showGridLines="0" topLeftCell="A4" zoomScaleNormal="100" workbookViewId="0">
      <selection activeCell="C10" sqref="C10"/>
    </sheetView>
  </sheetViews>
  <sheetFormatPr defaultColWidth="9.1796875" defaultRowHeight="18"/>
  <cols>
    <col min="1" max="1" width="4.1796875" style="116" customWidth="1"/>
    <col min="2" max="2" width="5.1796875" style="116" customWidth="1"/>
    <col min="3" max="3" width="66.1796875" style="114" customWidth="1"/>
    <col min="4" max="16384" width="9.1796875" style="114"/>
  </cols>
  <sheetData>
    <row r="1" spans="1:11" ht="18" customHeight="1">
      <c r="A1" s="728" t="s">
        <v>0</v>
      </c>
      <c r="B1" s="728"/>
      <c r="C1" s="729"/>
    </row>
    <row r="2" spans="1:11" ht="18" customHeight="1">
      <c r="A2" s="132"/>
      <c r="B2" s="132"/>
      <c r="C2" s="134"/>
    </row>
    <row r="3" spans="1:11" ht="18" customHeight="1">
      <c r="A3" s="133"/>
      <c r="B3" s="133"/>
      <c r="C3" s="127" t="s">
        <v>1</v>
      </c>
    </row>
    <row r="4" spans="1:11" ht="18" customHeight="1">
      <c r="A4" s="133"/>
      <c r="B4" s="133"/>
    </row>
    <row r="5" spans="1:11" ht="18" customHeight="1">
      <c r="A5" s="121">
        <v>1</v>
      </c>
      <c r="B5" s="124"/>
      <c r="C5" s="127" t="s">
        <v>2</v>
      </c>
    </row>
    <row r="6" spans="1:11" ht="18" customHeight="1">
      <c r="A6" s="123"/>
      <c r="B6" s="125">
        <v>1.1000000000000001</v>
      </c>
      <c r="C6" s="128" t="s">
        <v>3</v>
      </c>
    </row>
    <row r="7" spans="1:11" ht="18" customHeight="1">
      <c r="A7" s="123"/>
      <c r="B7" s="125">
        <v>1.2</v>
      </c>
      <c r="C7" s="128" t="s">
        <v>4</v>
      </c>
      <c r="K7" s="130"/>
    </row>
    <row r="8" spans="1:11" ht="18" customHeight="1">
      <c r="A8" s="123"/>
      <c r="B8" s="125">
        <v>1.3</v>
      </c>
      <c r="C8" s="128" t="s">
        <v>5</v>
      </c>
    </row>
    <row r="9" spans="1:11" ht="18" customHeight="1">
      <c r="A9" s="123"/>
      <c r="B9" s="125">
        <v>1.4</v>
      </c>
      <c r="C9" s="128" t="s">
        <v>6</v>
      </c>
      <c r="K9" s="131"/>
    </row>
    <row r="10" spans="1:11" ht="18" customHeight="1">
      <c r="A10" s="123"/>
      <c r="B10" s="125">
        <v>1.5</v>
      </c>
      <c r="C10" s="128" t="s">
        <v>7</v>
      </c>
    </row>
    <row r="11" spans="1:11" ht="18" customHeight="1">
      <c r="A11" s="122"/>
      <c r="B11" s="126"/>
      <c r="C11" s="129" t="s">
        <v>8</v>
      </c>
    </row>
    <row r="12" spans="1:11" ht="18" customHeight="1">
      <c r="A12" s="122"/>
      <c r="B12" s="126"/>
      <c r="C12" s="129"/>
    </row>
    <row r="13" spans="1:11" ht="18" customHeight="1">
      <c r="A13" s="121">
        <v>2</v>
      </c>
      <c r="B13" s="124"/>
      <c r="C13" s="127" t="s">
        <v>9</v>
      </c>
    </row>
    <row r="14" spans="1:11" ht="18" customHeight="1">
      <c r="A14" s="123"/>
      <c r="B14" s="125">
        <v>2.1</v>
      </c>
      <c r="C14" s="128" t="s">
        <v>10</v>
      </c>
    </row>
    <row r="15" spans="1:11" ht="18" customHeight="1">
      <c r="A15" s="123"/>
      <c r="B15" s="125">
        <v>2.2000000000000002</v>
      </c>
      <c r="C15" s="128" t="s">
        <v>11</v>
      </c>
    </row>
    <row r="16" spans="1:11" ht="18" customHeight="1">
      <c r="A16" s="123"/>
      <c r="B16" s="125">
        <v>2.2999999999999998</v>
      </c>
      <c r="C16" s="128" t="s">
        <v>12</v>
      </c>
    </row>
    <row r="17" spans="1:3" ht="18" customHeight="1">
      <c r="A17" s="123"/>
      <c r="B17" s="125">
        <v>2.4</v>
      </c>
      <c r="C17" s="128" t="s">
        <v>13</v>
      </c>
    </row>
    <row r="18" spans="1:3" ht="18" customHeight="1">
      <c r="A18" s="123"/>
      <c r="B18" s="125">
        <v>2.5</v>
      </c>
      <c r="C18" s="128" t="s">
        <v>14</v>
      </c>
    </row>
    <row r="19" spans="1:3" ht="18" customHeight="1">
      <c r="A19" s="123"/>
      <c r="B19" s="125">
        <v>2.6</v>
      </c>
      <c r="C19" s="128" t="s">
        <v>15</v>
      </c>
    </row>
    <row r="20" spans="1:3" ht="18" customHeight="1">
      <c r="A20" s="122"/>
      <c r="B20" s="126"/>
      <c r="C20" s="129"/>
    </row>
    <row r="21" spans="1:3" ht="18" customHeight="1">
      <c r="A21" s="121">
        <v>3</v>
      </c>
      <c r="B21" s="124"/>
      <c r="C21" s="127" t="s">
        <v>16</v>
      </c>
    </row>
    <row r="22" spans="1:3" ht="18" customHeight="1">
      <c r="A22" s="123"/>
      <c r="B22" s="125">
        <v>3.1</v>
      </c>
      <c r="C22" s="128" t="s">
        <v>17</v>
      </c>
    </row>
    <row r="23" spans="1:3" ht="18" customHeight="1">
      <c r="A23" s="123"/>
      <c r="B23" s="125">
        <v>3.2</v>
      </c>
      <c r="C23" s="128" t="s">
        <v>18</v>
      </c>
    </row>
    <row r="24" spans="1:3" ht="18" customHeight="1">
      <c r="A24" s="123"/>
      <c r="B24" s="125">
        <v>3.3</v>
      </c>
      <c r="C24" s="128" t="s">
        <v>19</v>
      </c>
    </row>
    <row r="25" spans="1:3" ht="18" customHeight="1">
      <c r="A25" s="122"/>
      <c r="B25" s="126"/>
      <c r="C25" s="129"/>
    </row>
    <row r="26" spans="1:3" ht="18" customHeight="1">
      <c r="A26" s="121">
        <v>4</v>
      </c>
      <c r="B26" s="124"/>
      <c r="C26" s="127" t="s">
        <v>20</v>
      </c>
    </row>
    <row r="27" spans="1:3" ht="18" customHeight="1">
      <c r="A27" s="123"/>
      <c r="B27" s="125">
        <v>4.0999999999999996</v>
      </c>
      <c r="C27" s="128" t="s">
        <v>21</v>
      </c>
    </row>
    <row r="28" spans="1:3" ht="18" customHeight="1">
      <c r="A28" s="123"/>
      <c r="B28" s="125">
        <v>4.2</v>
      </c>
      <c r="C28" s="128" t="s">
        <v>22</v>
      </c>
    </row>
    <row r="29" spans="1:3" ht="18" customHeight="1">
      <c r="A29" s="123"/>
      <c r="B29" s="125">
        <v>4.3</v>
      </c>
      <c r="C29" s="128" t="s">
        <v>23</v>
      </c>
    </row>
    <row r="30" spans="1:3" ht="18" customHeight="1">
      <c r="A30" s="123"/>
      <c r="B30" s="125">
        <v>4.4000000000000004</v>
      </c>
      <c r="C30" s="128" t="s">
        <v>24</v>
      </c>
    </row>
    <row r="31" spans="1:3" ht="18" customHeight="1">
      <c r="A31" s="123"/>
      <c r="B31" s="125">
        <v>4.5</v>
      </c>
      <c r="C31" s="128" t="s">
        <v>25</v>
      </c>
    </row>
    <row r="32" spans="1:3" ht="18" customHeight="1">
      <c r="A32" s="123"/>
      <c r="B32" s="125">
        <v>4.5999999999999996</v>
      </c>
      <c r="C32" s="128" t="s">
        <v>26</v>
      </c>
    </row>
    <row r="33" spans="1:15" ht="18" customHeight="1">
      <c r="A33" s="123"/>
      <c r="B33" s="125">
        <v>4.7</v>
      </c>
      <c r="C33" s="128" t="s">
        <v>27</v>
      </c>
    </row>
    <row r="34" spans="1:15" ht="18" customHeight="1">
      <c r="A34" s="122"/>
      <c r="B34" s="126"/>
      <c r="C34" s="129"/>
    </row>
    <row r="35" spans="1:15" ht="18" customHeight="1">
      <c r="A35" s="121">
        <v>5</v>
      </c>
      <c r="B35" s="124"/>
      <c r="C35" s="127" t="s">
        <v>28</v>
      </c>
    </row>
    <row r="36" spans="1:15" ht="18" customHeight="1">
      <c r="A36" s="123"/>
      <c r="B36" s="125">
        <v>5.0999999999999996</v>
      </c>
      <c r="C36" s="128" t="s">
        <v>29</v>
      </c>
    </row>
    <row r="37" spans="1:15" ht="18" customHeight="1">
      <c r="A37" s="123"/>
      <c r="B37" s="125">
        <v>5.2</v>
      </c>
      <c r="C37" s="128" t="s">
        <v>30</v>
      </c>
    </row>
    <row r="38" spans="1:15" ht="18" customHeight="1">
      <c r="A38" s="123"/>
      <c r="B38" s="125">
        <v>5.3</v>
      </c>
      <c r="C38" s="128" t="s">
        <v>31</v>
      </c>
      <c r="D38" s="115"/>
      <c r="E38" s="115"/>
    </row>
    <row r="39" spans="1:15" ht="18" customHeight="1">
      <c r="A39" s="122"/>
      <c r="B39" s="126"/>
      <c r="C39" s="129"/>
      <c r="D39" s="115"/>
      <c r="E39" s="115"/>
    </row>
    <row r="40" spans="1:15" ht="18" customHeight="1">
      <c r="A40" s="121">
        <v>6</v>
      </c>
      <c r="B40" s="124"/>
      <c r="C40" s="127" t="s">
        <v>32</v>
      </c>
    </row>
    <row r="41" spans="1:15" ht="18" customHeight="1">
      <c r="A41" s="123"/>
      <c r="B41" s="125">
        <v>6.1</v>
      </c>
      <c r="C41" s="128" t="s">
        <v>33</v>
      </c>
    </row>
    <row r="42" spans="1:15" ht="18" customHeight="1">
      <c r="A42" s="123"/>
      <c r="B42" s="125">
        <v>6.2</v>
      </c>
      <c r="C42" s="128" t="s">
        <v>34</v>
      </c>
    </row>
    <row r="43" spans="1:15" ht="18" customHeight="1">
      <c r="A43" s="123"/>
      <c r="B43" s="125">
        <v>6.3</v>
      </c>
      <c r="C43" s="128" t="s">
        <v>35</v>
      </c>
      <c r="D43" s="115"/>
      <c r="E43" s="115"/>
      <c r="F43" s="115"/>
      <c r="G43" s="115"/>
      <c r="H43" s="115"/>
      <c r="I43" s="115"/>
      <c r="J43" s="115"/>
      <c r="K43" s="115"/>
      <c r="L43" s="115"/>
      <c r="M43" s="115"/>
      <c r="N43" s="115"/>
      <c r="O43" s="115"/>
    </row>
  </sheetData>
  <mergeCells count="1">
    <mergeCell ref="A1:C1"/>
  </mergeCells>
  <printOptions horizontalCentered="1"/>
  <pageMargins left="0.28999999999999998" right="0.24" top="0.75" bottom="0.75" header="0.3" footer="0.3"/>
  <pageSetup paperSize="9" scale="7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92"/>
  <sheetViews>
    <sheetView zoomScaleNormal="100" workbookViewId="0">
      <pane xSplit="2" ySplit="4" topLeftCell="C177" activePane="bottomRight" state="frozen"/>
      <selection pane="topRight" activeCell="G154" sqref="G154"/>
      <selection pane="bottomLeft" activeCell="G154" sqref="G154"/>
      <selection pane="bottomRight" sqref="A1:F1"/>
    </sheetView>
  </sheetViews>
  <sheetFormatPr defaultColWidth="9.1796875" defaultRowHeight="13"/>
  <cols>
    <col min="1" max="1" width="7.6328125" style="65" customWidth="1"/>
    <col min="2" max="2" width="8.1796875" style="65" customWidth="1"/>
    <col min="3" max="6" width="20.81640625" style="65" customWidth="1"/>
    <col min="7" max="16384" width="9.1796875" style="65"/>
  </cols>
  <sheetData>
    <row r="1" spans="1:8" ht="16.5" customHeight="1">
      <c r="A1" s="709" t="s">
        <v>183</v>
      </c>
      <c r="B1" s="709"/>
      <c r="C1" s="709"/>
      <c r="D1" s="709"/>
      <c r="E1" s="709"/>
      <c r="F1" s="709"/>
      <c r="G1" s="91"/>
    </row>
    <row r="2" spans="1:8" ht="12.75" customHeight="1">
      <c r="A2" s="760" t="s">
        <v>184</v>
      </c>
      <c r="B2" s="760"/>
      <c r="C2" s="760"/>
      <c r="D2" s="760"/>
      <c r="E2" s="760"/>
      <c r="F2" s="760"/>
    </row>
    <row r="3" spans="1:8" ht="15.75" customHeight="1">
      <c r="A3" s="717" t="s">
        <v>98</v>
      </c>
      <c r="B3" s="718"/>
      <c r="C3" s="765" t="s">
        <v>185</v>
      </c>
      <c r="D3" s="766"/>
      <c r="E3" s="766"/>
      <c r="F3" s="767"/>
    </row>
    <row r="4" spans="1:8" ht="18" customHeight="1">
      <c r="A4" s="719"/>
      <c r="B4" s="720"/>
      <c r="C4" s="338" t="s">
        <v>177</v>
      </c>
      <c r="D4" s="339" t="s">
        <v>178</v>
      </c>
      <c r="E4" s="338" t="s">
        <v>179</v>
      </c>
      <c r="F4" s="340" t="s">
        <v>180</v>
      </c>
    </row>
    <row r="5" spans="1:8" ht="14">
      <c r="A5" s="238">
        <v>2011</v>
      </c>
      <c r="B5" s="272" t="s">
        <v>105</v>
      </c>
      <c r="C5" s="332">
        <v>0.27500000000000002</v>
      </c>
      <c r="D5" s="333" t="s">
        <v>181</v>
      </c>
      <c r="E5" s="332" t="s">
        <v>181</v>
      </c>
      <c r="F5" s="337">
        <v>0.34</v>
      </c>
      <c r="G5" s="91"/>
      <c r="H5" s="91"/>
    </row>
    <row r="6" spans="1:8" ht="14">
      <c r="A6" s="239"/>
      <c r="B6" s="273" t="s">
        <v>106</v>
      </c>
      <c r="C6" s="327">
        <v>0.27</v>
      </c>
      <c r="D6" s="328" t="s">
        <v>181</v>
      </c>
      <c r="E6" s="327" t="s">
        <v>181</v>
      </c>
      <c r="F6" s="336">
        <v>0.34</v>
      </c>
      <c r="G6" s="91"/>
      <c r="H6" s="91"/>
    </row>
    <row r="7" spans="1:8" ht="14">
      <c r="A7" s="239"/>
      <c r="B7" s="273" t="s">
        <v>107</v>
      </c>
      <c r="C7" s="327" t="s">
        <v>181</v>
      </c>
      <c r="D7" s="328" t="s">
        <v>181</v>
      </c>
      <c r="E7" s="327" t="s">
        <v>181</v>
      </c>
      <c r="F7" s="336">
        <v>0.34</v>
      </c>
      <c r="G7" s="91"/>
      <c r="H7" s="91"/>
    </row>
    <row r="8" spans="1:8" ht="14">
      <c r="A8" s="239"/>
      <c r="B8" s="273" t="s">
        <v>108</v>
      </c>
      <c r="C8" s="327">
        <v>0.28000000000000003</v>
      </c>
      <c r="D8" s="328" t="s">
        <v>181</v>
      </c>
      <c r="E8" s="327" t="s">
        <v>181</v>
      </c>
      <c r="F8" s="336">
        <v>0.34</v>
      </c>
      <c r="G8" s="91"/>
      <c r="H8" s="91"/>
    </row>
    <row r="9" spans="1:8" ht="14">
      <c r="A9" s="239"/>
      <c r="B9" s="273" t="s">
        <v>109</v>
      </c>
      <c r="C9" s="327">
        <v>0.26500000000000001</v>
      </c>
      <c r="D9" s="328" t="s">
        <v>181</v>
      </c>
      <c r="E9" s="327" t="s">
        <v>181</v>
      </c>
      <c r="F9" s="336">
        <v>0.34</v>
      </c>
      <c r="G9" s="91"/>
      <c r="H9" s="91"/>
    </row>
    <row r="10" spans="1:8" ht="14">
      <c r="A10" s="239"/>
      <c r="B10" s="273" t="s">
        <v>110</v>
      </c>
      <c r="C10" s="327">
        <v>0.22999999999999998</v>
      </c>
      <c r="D10" s="328" t="s">
        <v>181</v>
      </c>
      <c r="E10" s="327" t="s">
        <v>181</v>
      </c>
      <c r="F10" s="336">
        <v>0.34</v>
      </c>
      <c r="G10" s="91"/>
      <c r="H10" s="91"/>
    </row>
    <row r="11" spans="1:8" ht="14">
      <c r="A11" s="239"/>
      <c r="B11" s="273" t="s">
        <v>111</v>
      </c>
      <c r="C11" s="327">
        <v>0.21000000000000002</v>
      </c>
      <c r="D11" s="328" t="s">
        <v>181</v>
      </c>
      <c r="E11" s="327" t="s">
        <v>181</v>
      </c>
      <c r="F11" s="336">
        <v>0.34</v>
      </c>
      <c r="G11" s="91"/>
      <c r="H11" s="91"/>
    </row>
    <row r="12" spans="1:8" ht="14">
      <c r="A12" s="239"/>
      <c r="B12" s="273" t="s">
        <v>112</v>
      </c>
      <c r="C12" s="327">
        <v>0.17250000000000001</v>
      </c>
      <c r="D12" s="328" t="s">
        <v>181</v>
      </c>
      <c r="E12" s="327" t="s">
        <v>181</v>
      </c>
      <c r="F12" s="336">
        <v>0.35</v>
      </c>
      <c r="G12" s="91"/>
      <c r="H12" s="91"/>
    </row>
    <row r="13" spans="1:8" ht="14">
      <c r="A13" s="239"/>
      <c r="B13" s="273" t="s">
        <v>113</v>
      </c>
      <c r="C13" s="327">
        <v>0.15000000000000002</v>
      </c>
      <c r="D13" s="328" t="s">
        <v>181</v>
      </c>
      <c r="E13" s="327" t="s">
        <v>181</v>
      </c>
      <c r="F13" s="336">
        <v>0.35</v>
      </c>
      <c r="G13" s="91"/>
      <c r="H13" s="91"/>
    </row>
    <row r="14" spans="1:8" ht="14">
      <c r="A14" s="239"/>
      <c r="B14" s="273" t="s">
        <v>114</v>
      </c>
      <c r="C14" s="327">
        <v>0.11666666666666665</v>
      </c>
      <c r="D14" s="328" t="s">
        <v>181</v>
      </c>
      <c r="E14" s="327" t="s">
        <v>181</v>
      </c>
      <c r="F14" s="336">
        <v>0.35</v>
      </c>
      <c r="G14" s="91"/>
      <c r="H14" s="91"/>
    </row>
    <row r="15" spans="1:8" ht="14">
      <c r="A15" s="239"/>
      <c r="B15" s="273" t="s">
        <v>115</v>
      </c>
      <c r="C15" s="327">
        <v>0.15125</v>
      </c>
      <c r="D15" s="328" t="s">
        <v>181</v>
      </c>
      <c r="E15" s="327" t="s">
        <v>181</v>
      </c>
      <c r="F15" s="336">
        <v>0.35</v>
      </c>
      <c r="G15" s="91"/>
      <c r="H15" s="91"/>
    </row>
    <row r="16" spans="1:8" ht="14">
      <c r="A16" s="239"/>
      <c r="B16" s="273" t="s">
        <v>116</v>
      </c>
      <c r="C16" s="327">
        <v>0.15625</v>
      </c>
      <c r="D16" s="328" t="s">
        <v>181</v>
      </c>
      <c r="E16" s="327" t="s">
        <v>181</v>
      </c>
      <c r="F16" s="336">
        <v>0.35</v>
      </c>
      <c r="G16" s="91"/>
      <c r="H16" s="91"/>
    </row>
    <row r="17" spans="1:8" ht="14">
      <c r="A17" s="238">
        <v>2012</v>
      </c>
      <c r="B17" s="272" t="s">
        <v>105</v>
      </c>
      <c r="C17" s="332">
        <v>0.17500000000000002</v>
      </c>
      <c r="D17" s="333" t="s">
        <v>181</v>
      </c>
      <c r="E17" s="332" t="s">
        <v>181</v>
      </c>
      <c r="F17" s="337">
        <v>0.35</v>
      </c>
      <c r="G17" s="91"/>
      <c r="H17" s="91"/>
    </row>
    <row r="18" spans="1:8" ht="14">
      <c r="A18" s="239"/>
      <c r="B18" s="273" t="s">
        <v>106</v>
      </c>
      <c r="C18" s="327">
        <v>0.17</v>
      </c>
      <c r="D18" s="328" t="s">
        <v>181</v>
      </c>
      <c r="E18" s="327" t="s">
        <v>181</v>
      </c>
      <c r="F18" s="336">
        <v>0.35</v>
      </c>
      <c r="G18" s="91"/>
      <c r="H18" s="91"/>
    </row>
    <row r="19" spans="1:8" ht="14">
      <c r="A19" s="239"/>
      <c r="B19" s="273" t="s">
        <v>107</v>
      </c>
      <c r="C19" s="327">
        <v>0.2</v>
      </c>
      <c r="D19" s="328" t="s">
        <v>181</v>
      </c>
      <c r="E19" s="327" t="s">
        <v>181</v>
      </c>
      <c r="F19" s="336">
        <v>0.35</v>
      </c>
      <c r="G19" s="91"/>
      <c r="H19" s="91"/>
    </row>
    <row r="20" spans="1:8" ht="14">
      <c r="A20" s="239"/>
      <c r="B20" s="273" t="s">
        <v>108</v>
      </c>
      <c r="C20" s="327">
        <v>0.19500000000000001</v>
      </c>
      <c r="D20" s="328" t="s">
        <v>181</v>
      </c>
      <c r="E20" s="327" t="s">
        <v>181</v>
      </c>
      <c r="F20" s="336">
        <v>0.35</v>
      </c>
      <c r="G20" s="91"/>
      <c r="H20" s="91"/>
    </row>
    <row r="21" spans="1:8" ht="14">
      <c r="A21" s="239"/>
      <c r="B21" s="273" t="s">
        <v>109</v>
      </c>
      <c r="C21" s="327">
        <v>0.192</v>
      </c>
      <c r="D21" s="328" t="s">
        <v>181</v>
      </c>
      <c r="E21" s="327" t="s">
        <v>181</v>
      </c>
      <c r="F21" s="336">
        <v>0.35</v>
      </c>
      <c r="G21" s="91"/>
      <c r="H21" s="91"/>
    </row>
    <row r="22" spans="1:8" ht="14">
      <c r="A22" s="239"/>
      <c r="B22" s="273" t="s">
        <v>110</v>
      </c>
      <c r="C22" s="327">
        <v>0.188</v>
      </c>
      <c r="D22" s="328" t="s">
        <v>181</v>
      </c>
      <c r="E22" s="327" t="s">
        <v>181</v>
      </c>
      <c r="F22" s="336">
        <v>0.35</v>
      </c>
      <c r="G22" s="91"/>
      <c r="H22" s="91"/>
    </row>
    <row r="23" spans="1:8" ht="14">
      <c r="A23" s="239"/>
      <c r="B23" s="273" t="s">
        <v>111</v>
      </c>
      <c r="C23" s="327">
        <v>0.185</v>
      </c>
      <c r="D23" s="328" t="s">
        <v>181</v>
      </c>
      <c r="E23" s="327" t="s">
        <v>181</v>
      </c>
      <c r="F23" s="336">
        <v>0.35</v>
      </c>
      <c r="G23" s="91"/>
      <c r="H23" s="91"/>
    </row>
    <row r="24" spans="1:8" ht="14">
      <c r="A24" s="239"/>
      <c r="B24" s="273" t="s">
        <v>112</v>
      </c>
      <c r="C24" s="327">
        <v>0.185</v>
      </c>
      <c r="D24" s="328" t="s">
        <v>181</v>
      </c>
      <c r="E24" s="327" t="s">
        <v>181</v>
      </c>
      <c r="F24" s="336">
        <v>0.28000000000000003</v>
      </c>
      <c r="G24" s="91"/>
      <c r="H24" s="91"/>
    </row>
    <row r="25" spans="1:8" ht="14">
      <c r="A25" s="239"/>
      <c r="B25" s="273" t="s">
        <v>113</v>
      </c>
      <c r="C25" s="327">
        <v>0.18000000000000002</v>
      </c>
      <c r="D25" s="328" t="s">
        <v>181</v>
      </c>
      <c r="E25" s="327" t="s">
        <v>181</v>
      </c>
      <c r="F25" s="336">
        <v>0.28000000000000003</v>
      </c>
      <c r="G25" s="91"/>
      <c r="H25" s="91"/>
    </row>
    <row r="26" spans="1:8" ht="14">
      <c r="A26" s="239"/>
      <c r="B26" s="273" t="s">
        <v>114</v>
      </c>
      <c r="C26" s="327">
        <v>0.17333333333333334</v>
      </c>
      <c r="D26" s="328" t="s">
        <v>181</v>
      </c>
      <c r="E26" s="327" t="s">
        <v>181</v>
      </c>
      <c r="F26" s="336">
        <v>0.28000000000000003</v>
      </c>
      <c r="G26" s="91"/>
      <c r="H26" s="91"/>
    </row>
    <row r="27" spans="1:8" ht="14">
      <c r="A27" s="239"/>
      <c r="B27" s="273" t="s">
        <v>115</v>
      </c>
      <c r="C27" s="327">
        <v>0.16500000000000001</v>
      </c>
      <c r="D27" s="328" t="s">
        <v>181</v>
      </c>
      <c r="E27" s="327" t="s">
        <v>181</v>
      </c>
      <c r="F27" s="336">
        <v>0.28000000000000003</v>
      </c>
      <c r="G27" s="91"/>
      <c r="H27" s="91"/>
    </row>
    <row r="28" spans="1:8" ht="14">
      <c r="A28" s="239"/>
      <c r="B28" s="273" t="s">
        <v>116</v>
      </c>
      <c r="C28" s="327">
        <v>0.16</v>
      </c>
      <c r="D28" s="328" t="s">
        <v>181</v>
      </c>
      <c r="E28" s="327" t="s">
        <v>181</v>
      </c>
      <c r="F28" s="336">
        <v>0.28000000000000003</v>
      </c>
      <c r="G28" s="91"/>
      <c r="H28" s="91"/>
    </row>
    <row r="29" spans="1:8" ht="14">
      <c r="A29" s="238">
        <v>2013</v>
      </c>
      <c r="B29" s="272" t="s">
        <v>105</v>
      </c>
      <c r="C29" s="341">
        <v>0.16</v>
      </c>
      <c r="D29" s="333" t="s">
        <v>181</v>
      </c>
      <c r="E29" s="332" t="s">
        <v>181</v>
      </c>
      <c r="F29" s="337">
        <v>0.28000000000000003</v>
      </c>
      <c r="G29" s="91"/>
      <c r="H29" s="91"/>
    </row>
    <row r="30" spans="1:8" ht="14">
      <c r="A30" s="239"/>
      <c r="B30" s="273" t="s">
        <v>106</v>
      </c>
      <c r="C30" s="327">
        <v>0.16999999999999998</v>
      </c>
      <c r="D30" s="328" t="s">
        <v>181</v>
      </c>
      <c r="E30" s="327" t="s">
        <v>181</v>
      </c>
      <c r="F30" s="336">
        <v>0.28000000000000003</v>
      </c>
      <c r="G30" s="91"/>
      <c r="H30" s="91"/>
    </row>
    <row r="31" spans="1:8" ht="14">
      <c r="A31" s="239"/>
      <c r="B31" s="273" t="s">
        <v>107</v>
      </c>
      <c r="C31" s="327">
        <v>0.16666666666666666</v>
      </c>
      <c r="D31" s="328" t="s">
        <v>181</v>
      </c>
      <c r="E31" s="327" t="s">
        <v>181</v>
      </c>
      <c r="F31" s="336">
        <v>0.28000000000000003</v>
      </c>
      <c r="G31" s="91"/>
      <c r="H31" s="91"/>
    </row>
    <row r="32" spans="1:8" ht="14">
      <c r="A32" s="239"/>
      <c r="B32" s="273" t="s">
        <v>108</v>
      </c>
      <c r="C32" s="327">
        <v>0.16250000000000001</v>
      </c>
      <c r="D32" s="328" t="s">
        <v>181</v>
      </c>
      <c r="E32" s="327" t="s">
        <v>181</v>
      </c>
      <c r="F32" s="336">
        <v>0.28000000000000003</v>
      </c>
      <c r="G32" s="91"/>
      <c r="H32" s="91"/>
    </row>
    <row r="33" spans="1:8" ht="14">
      <c r="A33" s="239"/>
      <c r="B33" s="273" t="s">
        <v>109</v>
      </c>
      <c r="C33" s="327">
        <v>0.17799999999999999</v>
      </c>
      <c r="D33" s="328" t="s">
        <v>181</v>
      </c>
      <c r="E33" s="327" t="s">
        <v>181</v>
      </c>
      <c r="F33" s="336">
        <v>0.28000000000000003</v>
      </c>
      <c r="G33" s="91"/>
      <c r="H33" s="91"/>
    </row>
    <row r="34" spans="1:8" ht="14">
      <c r="A34" s="239"/>
      <c r="B34" s="273" t="s">
        <v>110</v>
      </c>
      <c r="C34" s="327">
        <v>0.19</v>
      </c>
      <c r="D34" s="328" t="s">
        <v>181</v>
      </c>
      <c r="E34" s="327" t="s">
        <v>181</v>
      </c>
      <c r="F34" s="336">
        <v>0.28000000000000003</v>
      </c>
      <c r="G34" s="91"/>
      <c r="H34" s="91"/>
    </row>
    <row r="35" spans="1:8" ht="14">
      <c r="A35" s="239"/>
      <c r="B35" s="273" t="s">
        <v>117</v>
      </c>
      <c r="C35" s="327">
        <v>0.2</v>
      </c>
      <c r="D35" s="328" t="s">
        <v>181</v>
      </c>
      <c r="E35" s="327" t="s">
        <v>181</v>
      </c>
      <c r="F35" s="336">
        <v>0.24000000000000002</v>
      </c>
      <c r="G35" s="91"/>
      <c r="H35" s="91"/>
    </row>
    <row r="36" spans="1:8" ht="14">
      <c r="A36" s="239"/>
      <c r="B36" s="273" t="s">
        <v>112</v>
      </c>
      <c r="C36" s="327">
        <v>0.17500000000000002</v>
      </c>
      <c r="D36" s="328" t="s">
        <v>181</v>
      </c>
      <c r="E36" s="327" t="s">
        <v>181</v>
      </c>
      <c r="F36" s="336">
        <v>0.2</v>
      </c>
      <c r="G36" s="91"/>
      <c r="H36" s="91"/>
    </row>
    <row r="37" spans="1:8" ht="14">
      <c r="A37" s="239"/>
      <c r="B37" s="273" t="s">
        <v>113</v>
      </c>
      <c r="C37" s="327">
        <v>0.15333333333333335</v>
      </c>
      <c r="D37" s="328" t="s">
        <v>181</v>
      </c>
      <c r="E37" s="327" t="s">
        <v>181</v>
      </c>
      <c r="F37" s="336">
        <v>0.2</v>
      </c>
      <c r="G37" s="91"/>
      <c r="H37" s="91"/>
    </row>
    <row r="38" spans="1:8" ht="14">
      <c r="A38" s="239"/>
      <c r="B38" s="273" t="s">
        <v>114</v>
      </c>
      <c r="C38" s="327">
        <v>0.15000000000000002</v>
      </c>
      <c r="D38" s="328" t="s">
        <v>181</v>
      </c>
      <c r="E38" s="327">
        <v>0.2</v>
      </c>
      <c r="F38" s="336">
        <v>0.2</v>
      </c>
      <c r="G38" s="91"/>
      <c r="H38" s="91"/>
    </row>
    <row r="39" spans="1:8" ht="14">
      <c r="A39" s="239"/>
      <c r="B39" s="273" t="s">
        <v>115</v>
      </c>
      <c r="C39" s="327">
        <v>0.14500000000000002</v>
      </c>
      <c r="D39" s="328" t="s">
        <v>181</v>
      </c>
      <c r="E39" s="327">
        <v>0.19500000000000001</v>
      </c>
      <c r="F39" s="336">
        <v>0.2</v>
      </c>
      <c r="G39" s="91"/>
      <c r="H39" s="91"/>
    </row>
    <row r="40" spans="1:8" ht="14">
      <c r="A40" s="239"/>
      <c r="B40" s="273" t="s">
        <v>116</v>
      </c>
      <c r="C40" s="327">
        <v>0.15</v>
      </c>
      <c r="D40" s="328">
        <v>0.18</v>
      </c>
      <c r="E40" s="327">
        <v>0.19500000000000001</v>
      </c>
      <c r="F40" s="336">
        <v>0.2</v>
      </c>
      <c r="G40" s="91"/>
      <c r="H40" s="91"/>
    </row>
    <row r="41" spans="1:8" ht="14">
      <c r="A41" s="238">
        <v>2014</v>
      </c>
      <c r="B41" s="272" t="s">
        <v>105</v>
      </c>
      <c r="C41" s="332">
        <v>0.15</v>
      </c>
      <c r="D41" s="333">
        <v>0.18</v>
      </c>
      <c r="E41" s="332">
        <v>0.19500000000000001</v>
      </c>
      <c r="F41" s="337">
        <v>0.2</v>
      </c>
      <c r="G41" s="91"/>
      <c r="H41" s="91"/>
    </row>
    <row r="42" spans="1:8" ht="14">
      <c r="A42" s="239"/>
      <c r="B42" s="273" t="s">
        <v>106</v>
      </c>
      <c r="C42" s="327">
        <v>0.15</v>
      </c>
      <c r="D42" s="328">
        <v>0.185</v>
      </c>
      <c r="E42" s="327">
        <v>0.19500000000000001</v>
      </c>
      <c r="F42" s="336">
        <v>0.2</v>
      </c>
      <c r="G42" s="91"/>
      <c r="H42" s="91"/>
    </row>
    <row r="43" spans="1:8" ht="14">
      <c r="A43" s="239"/>
      <c r="B43" s="273" t="s">
        <v>107</v>
      </c>
      <c r="C43" s="327">
        <v>0.15</v>
      </c>
      <c r="D43" s="328">
        <v>0.185</v>
      </c>
      <c r="E43" s="327">
        <v>0.19666666666666668</v>
      </c>
      <c r="F43" s="336">
        <v>0.2</v>
      </c>
      <c r="G43" s="91"/>
      <c r="H43" s="91"/>
    </row>
    <row r="44" spans="1:8" ht="14">
      <c r="A44" s="239"/>
      <c r="B44" s="273" t="s">
        <v>108</v>
      </c>
      <c r="C44" s="327">
        <v>0.155</v>
      </c>
      <c r="D44" s="328">
        <v>0.185</v>
      </c>
      <c r="E44" s="327">
        <v>0.19666666666666668</v>
      </c>
      <c r="F44" s="336">
        <v>0.2</v>
      </c>
      <c r="G44" s="91"/>
      <c r="H44" s="91"/>
    </row>
    <row r="45" spans="1:8" ht="14">
      <c r="A45" s="239"/>
      <c r="B45" s="273" t="s">
        <v>109</v>
      </c>
      <c r="C45" s="327">
        <v>0.155</v>
      </c>
      <c r="D45" s="328">
        <v>0.19333333333333333</v>
      </c>
      <c r="E45" s="327">
        <v>0.19666666666666668</v>
      </c>
      <c r="F45" s="336">
        <v>0.2</v>
      </c>
      <c r="G45" s="91"/>
      <c r="H45" s="91"/>
    </row>
    <row r="46" spans="1:8" ht="14">
      <c r="A46" s="239"/>
      <c r="B46" s="273" t="s">
        <v>110</v>
      </c>
      <c r="C46" s="327">
        <v>0.16</v>
      </c>
      <c r="D46" s="328">
        <v>0.2</v>
      </c>
      <c r="E46" s="327">
        <v>0.19666666666666668</v>
      </c>
      <c r="F46" s="336">
        <v>0.2</v>
      </c>
      <c r="G46" s="91"/>
      <c r="H46" s="91"/>
    </row>
    <row r="47" spans="1:8" ht="14">
      <c r="A47" s="239"/>
      <c r="B47" s="273" t="s">
        <v>117</v>
      </c>
      <c r="C47" s="327">
        <v>0.16</v>
      </c>
      <c r="D47" s="328">
        <v>0.2</v>
      </c>
      <c r="E47" s="327">
        <v>0.20666666666666667</v>
      </c>
      <c r="F47" s="336" t="s">
        <v>181</v>
      </c>
      <c r="G47" s="91"/>
      <c r="H47" s="91"/>
    </row>
    <row r="48" spans="1:8" ht="14">
      <c r="A48" s="239"/>
      <c r="B48" s="273" t="s">
        <v>112</v>
      </c>
      <c r="C48" s="327">
        <v>0.16</v>
      </c>
      <c r="D48" s="328">
        <v>0.21</v>
      </c>
      <c r="E48" s="327">
        <v>0.21500000000000002</v>
      </c>
      <c r="F48" s="336">
        <v>0.25</v>
      </c>
      <c r="G48" s="91"/>
      <c r="H48" s="91"/>
    </row>
    <row r="49" spans="1:8" ht="14">
      <c r="A49" s="239"/>
      <c r="B49" s="273" t="s">
        <v>113</v>
      </c>
      <c r="C49" s="327">
        <v>0.17</v>
      </c>
      <c r="D49" s="328">
        <v>0.215</v>
      </c>
      <c r="E49" s="327">
        <v>0.21500000000000002</v>
      </c>
      <c r="F49" s="336">
        <v>0.25</v>
      </c>
      <c r="G49" s="91"/>
      <c r="H49" s="91"/>
    </row>
    <row r="50" spans="1:8" ht="14">
      <c r="A50" s="239"/>
      <c r="B50" s="273" t="s">
        <v>114</v>
      </c>
      <c r="C50" s="327">
        <v>0.18</v>
      </c>
      <c r="D50" s="328">
        <v>0.215</v>
      </c>
      <c r="E50" s="327">
        <v>0.21500000000000002</v>
      </c>
      <c r="F50" s="336">
        <v>0.25</v>
      </c>
      <c r="G50" s="91"/>
      <c r="H50" s="91"/>
    </row>
    <row r="51" spans="1:8" ht="14">
      <c r="A51" s="239"/>
      <c r="B51" s="273" t="s">
        <v>115</v>
      </c>
      <c r="C51" s="327">
        <v>0.19</v>
      </c>
      <c r="D51" s="328">
        <v>0.23</v>
      </c>
      <c r="E51" s="327">
        <v>0.21500000000000002</v>
      </c>
      <c r="F51" s="336">
        <v>0.25</v>
      </c>
      <c r="G51" s="91"/>
      <c r="H51" s="91"/>
    </row>
    <row r="52" spans="1:8" ht="14">
      <c r="A52" s="239"/>
      <c r="B52" s="273" t="s">
        <v>116</v>
      </c>
      <c r="C52" s="327">
        <v>0.2</v>
      </c>
      <c r="D52" s="328">
        <v>0.23</v>
      </c>
      <c r="E52" s="327">
        <v>0.37</v>
      </c>
      <c r="F52" s="336">
        <v>0.25</v>
      </c>
      <c r="G52" s="91"/>
      <c r="H52" s="91"/>
    </row>
    <row r="53" spans="1:8" ht="14">
      <c r="A53" s="238">
        <v>2015</v>
      </c>
      <c r="B53" s="272" t="s">
        <v>105</v>
      </c>
      <c r="C53" s="332">
        <v>0.21</v>
      </c>
      <c r="D53" s="333">
        <v>0.22999999999999998</v>
      </c>
      <c r="E53" s="332">
        <v>0.37</v>
      </c>
      <c r="F53" s="337">
        <v>0.25</v>
      </c>
      <c r="G53" s="91"/>
      <c r="H53" s="91"/>
    </row>
    <row r="54" spans="1:8" ht="14">
      <c r="A54" s="239"/>
      <c r="B54" s="273" t="s">
        <v>106</v>
      </c>
      <c r="C54" s="327" t="s">
        <v>181</v>
      </c>
      <c r="D54" s="328">
        <v>0.22999999999999998</v>
      </c>
      <c r="E54" s="327">
        <v>0.43333333333333335</v>
      </c>
      <c r="F54" s="336">
        <v>0.25</v>
      </c>
      <c r="G54" s="91"/>
      <c r="H54" s="91"/>
    </row>
    <row r="55" spans="1:8" ht="14">
      <c r="A55" s="239"/>
      <c r="B55" s="273" t="s">
        <v>107</v>
      </c>
      <c r="C55" s="327">
        <v>0.41</v>
      </c>
      <c r="D55" s="328">
        <v>0.24</v>
      </c>
      <c r="E55" s="327">
        <v>0.43333333333333335</v>
      </c>
      <c r="F55" s="336">
        <v>0.25</v>
      </c>
      <c r="G55" s="91"/>
      <c r="H55" s="91"/>
    </row>
    <row r="56" spans="1:8" ht="14">
      <c r="A56" s="239"/>
      <c r="B56" s="273" t="s">
        <v>108</v>
      </c>
      <c r="C56" s="327">
        <v>0.41</v>
      </c>
      <c r="D56" s="328">
        <v>0.24</v>
      </c>
      <c r="E56" s="327">
        <v>0.53500000000000003</v>
      </c>
      <c r="F56" s="336">
        <v>0.52500000000000002</v>
      </c>
      <c r="G56" s="91"/>
      <c r="H56" s="91"/>
    </row>
    <row r="57" spans="1:8" ht="14">
      <c r="A57" s="239"/>
      <c r="B57" s="273" t="s">
        <v>109</v>
      </c>
      <c r="C57" s="327">
        <v>0.41</v>
      </c>
      <c r="D57" s="328">
        <v>0.69</v>
      </c>
      <c r="E57" s="327">
        <v>0.53500000000000003</v>
      </c>
      <c r="F57" s="336">
        <v>0.52500000000000002</v>
      </c>
      <c r="G57" s="91"/>
      <c r="H57" s="91"/>
    </row>
    <row r="58" spans="1:8" ht="14">
      <c r="A58" s="239"/>
      <c r="B58" s="273" t="s">
        <v>110</v>
      </c>
      <c r="C58" s="327">
        <v>0.63</v>
      </c>
      <c r="D58" s="328">
        <v>0.69</v>
      </c>
      <c r="E58" s="327">
        <v>0.53500000000000003</v>
      </c>
      <c r="F58" s="336">
        <v>0.52500000000000002</v>
      </c>
      <c r="G58" s="91"/>
      <c r="H58" s="91"/>
    </row>
    <row r="59" spans="1:8" ht="14">
      <c r="A59" s="239"/>
      <c r="B59" s="273" t="s">
        <v>117</v>
      </c>
      <c r="C59" s="327">
        <v>0.63</v>
      </c>
      <c r="D59" s="328">
        <v>0.73499999999999999</v>
      </c>
      <c r="E59" s="327">
        <v>0.53500000000000003</v>
      </c>
      <c r="F59" s="336">
        <v>0.52500000000000002</v>
      </c>
      <c r="G59" s="91"/>
      <c r="H59" s="91"/>
    </row>
    <row r="60" spans="1:8" ht="14">
      <c r="A60" s="239"/>
      <c r="B60" s="273" t="s">
        <v>112</v>
      </c>
      <c r="C60" s="327">
        <v>0.63</v>
      </c>
      <c r="D60" s="328">
        <v>0.73499999999999999</v>
      </c>
      <c r="E60" s="327">
        <v>0.6333333333333333</v>
      </c>
      <c r="F60" s="336">
        <v>0.8</v>
      </c>
      <c r="G60" s="91"/>
      <c r="H60" s="91"/>
    </row>
    <row r="61" spans="1:8" ht="14">
      <c r="A61" s="239"/>
      <c r="B61" s="273" t="s">
        <v>113</v>
      </c>
      <c r="C61" s="327">
        <v>0.8</v>
      </c>
      <c r="D61" s="328">
        <v>0.73499999999999999</v>
      </c>
      <c r="E61" s="327">
        <v>0.69500000000000006</v>
      </c>
      <c r="F61" s="336">
        <v>0.8</v>
      </c>
      <c r="G61" s="91"/>
      <c r="H61" s="91"/>
    </row>
    <row r="62" spans="1:8" ht="14">
      <c r="A62" s="239"/>
      <c r="B62" s="273" t="s">
        <v>114</v>
      </c>
      <c r="C62" s="327">
        <v>0.8</v>
      </c>
      <c r="D62" s="328">
        <v>0.73499999999999999</v>
      </c>
      <c r="E62" s="327">
        <v>0.69500000000000006</v>
      </c>
      <c r="F62" s="336">
        <v>0.91500000000000004</v>
      </c>
      <c r="G62" s="91"/>
      <c r="H62" s="91"/>
    </row>
    <row r="63" spans="1:8" ht="14">
      <c r="A63" s="239"/>
      <c r="B63" s="273" t="s">
        <v>115</v>
      </c>
      <c r="C63" s="327">
        <v>0.8</v>
      </c>
      <c r="D63" s="328">
        <v>0.96499999999999997</v>
      </c>
      <c r="E63" s="327">
        <v>0.83</v>
      </c>
      <c r="F63" s="336">
        <v>0.91500000000000004</v>
      </c>
      <c r="G63" s="91"/>
      <c r="H63" s="91"/>
    </row>
    <row r="64" spans="1:8" ht="14">
      <c r="A64" s="239"/>
      <c r="B64" s="273" t="s">
        <v>116</v>
      </c>
      <c r="C64" s="327">
        <v>0.95</v>
      </c>
      <c r="D64" s="328">
        <v>0.96499999999999997</v>
      </c>
      <c r="E64" s="327">
        <v>0.83</v>
      </c>
      <c r="F64" s="336">
        <v>0.91500000000000004</v>
      </c>
      <c r="G64" s="91"/>
      <c r="H64" s="91"/>
    </row>
    <row r="65" spans="1:8" ht="14">
      <c r="A65" s="238">
        <v>2016</v>
      </c>
      <c r="B65" s="272" t="s">
        <v>105</v>
      </c>
      <c r="C65" s="332">
        <v>0.96499999999999997</v>
      </c>
      <c r="D65" s="333">
        <v>1.1499999999999999</v>
      </c>
      <c r="E65" s="332">
        <v>0.83</v>
      </c>
      <c r="F65" s="337">
        <v>0.91500000000000004</v>
      </c>
      <c r="G65" s="91"/>
      <c r="H65" s="91"/>
    </row>
    <row r="66" spans="1:8" ht="14">
      <c r="A66" s="239"/>
      <c r="B66" s="273" t="s">
        <v>106</v>
      </c>
      <c r="C66" s="327">
        <v>0.97333333333333327</v>
      </c>
      <c r="D66" s="328">
        <v>1.1499999999999999</v>
      </c>
      <c r="E66" s="327">
        <v>0.83</v>
      </c>
      <c r="F66" s="336">
        <v>0.91500000000000004</v>
      </c>
      <c r="G66" s="91"/>
      <c r="H66" s="91"/>
    </row>
    <row r="67" spans="1:8" ht="14">
      <c r="A67" s="239"/>
      <c r="B67" s="273" t="s">
        <v>107</v>
      </c>
      <c r="C67" s="327">
        <v>0.98499999999999999</v>
      </c>
      <c r="D67" s="328">
        <v>1.075</v>
      </c>
      <c r="E67" s="327">
        <v>0.83</v>
      </c>
      <c r="F67" s="336">
        <v>0.91500000000000004</v>
      </c>
      <c r="G67" s="91"/>
      <c r="H67" s="91"/>
    </row>
    <row r="68" spans="1:8" ht="14">
      <c r="A68" s="239"/>
      <c r="B68" s="273" t="s">
        <v>108</v>
      </c>
      <c r="C68" s="327">
        <v>0.88500000000000001</v>
      </c>
      <c r="D68" s="328">
        <v>1.075</v>
      </c>
      <c r="E68" s="327">
        <v>0.83</v>
      </c>
      <c r="F68" s="336">
        <v>1.03</v>
      </c>
      <c r="G68" s="91"/>
      <c r="H68" s="91"/>
    </row>
    <row r="69" spans="1:8" ht="14">
      <c r="A69" s="239"/>
      <c r="B69" s="273" t="s">
        <v>109</v>
      </c>
      <c r="C69" s="327">
        <v>0.78</v>
      </c>
      <c r="D69" s="328">
        <v>1</v>
      </c>
      <c r="E69" s="327">
        <v>0.9375</v>
      </c>
      <c r="F69" s="336">
        <v>1.03</v>
      </c>
      <c r="G69" s="91"/>
      <c r="H69" s="91"/>
    </row>
    <row r="70" spans="1:8" ht="14">
      <c r="A70" s="239"/>
      <c r="B70" s="273" t="s">
        <v>110</v>
      </c>
      <c r="C70" s="327">
        <v>0.79625000000000001</v>
      </c>
      <c r="D70" s="328">
        <v>1</v>
      </c>
      <c r="E70" s="327">
        <v>0.9375</v>
      </c>
      <c r="F70" s="336">
        <v>1.03</v>
      </c>
      <c r="G70" s="91"/>
      <c r="H70" s="91"/>
    </row>
    <row r="71" spans="1:8" ht="14">
      <c r="A71" s="239"/>
      <c r="B71" s="273" t="s">
        <v>117</v>
      </c>
      <c r="C71" s="327">
        <v>0.71875</v>
      </c>
      <c r="D71" s="328">
        <v>1</v>
      </c>
      <c r="E71" s="327">
        <v>0.9375</v>
      </c>
      <c r="F71" s="336">
        <v>1.03</v>
      </c>
      <c r="G71" s="91"/>
      <c r="H71" s="91"/>
    </row>
    <row r="72" spans="1:8" ht="14">
      <c r="A72" s="239"/>
      <c r="B72" s="273" t="s">
        <v>112</v>
      </c>
      <c r="C72" s="327">
        <v>0.70833333333333337</v>
      </c>
      <c r="D72" s="328">
        <v>0.90625</v>
      </c>
      <c r="E72" s="327">
        <v>0.9375</v>
      </c>
      <c r="F72" s="336">
        <v>1.03</v>
      </c>
      <c r="G72" s="91"/>
      <c r="H72" s="91"/>
    </row>
    <row r="73" spans="1:8" ht="14">
      <c r="A73" s="239"/>
      <c r="B73" s="273" t="s">
        <v>113</v>
      </c>
      <c r="C73" s="327">
        <v>0.65625</v>
      </c>
      <c r="D73" s="328">
        <v>0.78125</v>
      </c>
      <c r="E73" s="327">
        <v>0.9375</v>
      </c>
      <c r="F73" s="336">
        <v>1.03</v>
      </c>
      <c r="G73" s="91"/>
      <c r="H73" s="91"/>
    </row>
    <row r="74" spans="1:8" ht="14">
      <c r="A74" s="239"/>
      <c r="B74" s="273" t="s">
        <v>114</v>
      </c>
      <c r="C74" s="327">
        <v>0.68799999999999994</v>
      </c>
      <c r="D74" s="328">
        <v>0.78100000000000003</v>
      </c>
      <c r="E74" s="327">
        <v>0.93799999999999994</v>
      </c>
      <c r="F74" s="336">
        <v>1.0780000000000001</v>
      </c>
      <c r="G74" s="91"/>
      <c r="H74" s="91"/>
    </row>
    <row r="75" spans="1:8" ht="14">
      <c r="A75" s="239"/>
      <c r="B75" s="273" t="s">
        <v>115</v>
      </c>
      <c r="C75" s="327">
        <v>0.56299999999999994</v>
      </c>
      <c r="D75" s="328">
        <v>0.78100000000000003</v>
      </c>
      <c r="E75" s="327">
        <v>0.875</v>
      </c>
      <c r="F75" s="336">
        <v>1.0780000000000001</v>
      </c>
      <c r="G75" s="91"/>
      <c r="H75" s="91"/>
    </row>
    <row r="76" spans="1:8" ht="14">
      <c r="A76" s="239"/>
      <c r="B76" s="273" t="s">
        <v>116</v>
      </c>
      <c r="C76" s="327">
        <v>0.56299999999999994</v>
      </c>
      <c r="D76" s="328">
        <v>0.78100000000000003</v>
      </c>
      <c r="E76" s="327">
        <v>0.875</v>
      </c>
      <c r="F76" s="336">
        <v>1.0780000000000001</v>
      </c>
      <c r="G76" s="91"/>
      <c r="H76" s="91"/>
    </row>
    <row r="77" spans="1:8" ht="14">
      <c r="A77" s="238">
        <v>2017</v>
      </c>
      <c r="B77" s="272" t="s">
        <v>105</v>
      </c>
      <c r="C77" s="332">
        <v>0.5625</v>
      </c>
      <c r="D77" s="333">
        <v>0.78125</v>
      </c>
      <c r="E77" s="332">
        <v>0.875</v>
      </c>
      <c r="F77" s="337">
        <v>1.0775000000000001</v>
      </c>
      <c r="G77" s="91"/>
      <c r="H77" s="91"/>
    </row>
    <row r="78" spans="1:8" ht="14">
      <c r="A78" s="239"/>
      <c r="B78" s="273" t="s">
        <v>106</v>
      </c>
      <c r="C78" s="327">
        <v>0.5625</v>
      </c>
      <c r="D78" s="328">
        <v>0.75</v>
      </c>
      <c r="E78" s="327">
        <v>0.8125</v>
      </c>
      <c r="F78" s="336">
        <v>1.0775000000000001</v>
      </c>
      <c r="G78" s="91"/>
      <c r="H78" s="91"/>
    </row>
    <row r="79" spans="1:8" ht="14">
      <c r="A79" s="239"/>
      <c r="B79" s="273" t="s">
        <v>107</v>
      </c>
      <c r="C79" s="327">
        <v>0.5625</v>
      </c>
      <c r="D79" s="328">
        <v>0.6875</v>
      </c>
      <c r="E79" s="327">
        <v>0.8125</v>
      </c>
      <c r="F79" s="336">
        <v>1.0775000000000001</v>
      </c>
      <c r="G79" s="91"/>
      <c r="H79" s="91"/>
    </row>
    <row r="80" spans="1:8" ht="14">
      <c r="A80" s="239"/>
      <c r="B80" s="273" t="s">
        <v>108</v>
      </c>
      <c r="C80" s="327">
        <v>0.5625</v>
      </c>
      <c r="D80" s="328">
        <v>0.6875</v>
      </c>
      <c r="E80" s="327">
        <v>0.8125</v>
      </c>
      <c r="F80" s="336">
        <v>1</v>
      </c>
      <c r="G80" s="91"/>
      <c r="H80" s="91"/>
    </row>
    <row r="81" spans="1:8" ht="14">
      <c r="A81" s="239"/>
      <c r="B81" s="273" t="s">
        <v>109</v>
      </c>
      <c r="C81" s="327">
        <v>0.625</v>
      </c>
      <c r="D81" s="328">
        <v>0.6875</v>
      </c>
      <c r="E81" s="327">
        <v>0.8125</v>
      </c>
      <c r="F81" s="336">
        <v>1</v>
      </c>
      <c r="G81" s="91"/>
      <c r="H81" s="91"/>
    </row>
    <row r="82" spans="1:8" ht="14">
      <c r="A82" s="239"/>
      <c r="B82" s="273" t="s">
        <v>110</v>
      </c>
      <c r="C82" s="327">
        <v>0.625</v>
      </c>
      <c r="D82" s="328">
        <v>0.6875</v>
      </c>
      <c r="E82" s="327">
        <v>0.8125</v>
      </c>
      <c r="F82" s="336">
        <v>1</v>
      </c>
      <c r="G82" s="91"/>
      <c r="H82" s="91"/>
    </row>
    <row r="83" spans="1:8" ht="14">
      <c r="A83" s="239"/>
      <c r="B83" s="273" t="s">
        <v>117</v>
      </c>
      <c r="C83" s="327">
        <v>0.60416666666666663</v>
      </c>
      <c r="D83" s="328">
        <v>0.6875</v>
      </c>
      <c r="E83" s="327">
        <v>0.8125</v>
      </c>
      <c r="F83" s="336">
        <v>1</v>
      </c>
      <c r="G83" s="91"/>
      <c r="H83" s="91"/>
    </row>
    <row r="84" spans="1:8" ht="14">
      <c r="A84" s="239"/>
      <c r="B84" s="273" t="s">
        <v>112</v>
      </c>
      <c r="C84" s="327">
        <v>0.59375</v>
      </c>
      <c r="D84" s="328">
        <v>0.6875</v>
      </c>
      <c r="E84" s="327">
        <v>0.8125</v>
      </c>
      <c r="F84" s="336">
        <v>1</v>
      </c>
      <c r="G84" s="91"/>
      <c r="H84" s="91"/>
    </row>
    <row r="85" spans="1:8" ht="14">
      <c r="A85" s="239"/>
      <c r="B85" s="273" t="s">
        <v>113</v>
      </c>
      <c r="C85" s="327">
        <v>0.6875</v>
      </c>
      <c r="D85" s="328" t="s">
        <v>181</v>
      </c>
      <c r="E85" s="327">
        <v>0.8125</v>
      </c>
      <c r="F85" s="336">
        <v>1</v>
      </c>
      <c r="G85" s="91"/>
      <c r="H85" s="91"/>
    </row>
    <row r="86" spans="1:8" ht="14">
      <c r="A86" s="239"/>
      <c r="B86" s="273" t="s">
        <v>186</v>
      </c>
      <c r="C86" s="327">
        <v>0.84379999999999999</v>
      </c>
      <c r="D86" s="328" t="s">
        <v>181</v>
      </c>
      <c r="E86" s="327">
        <v>0.8125</v>
      </c>
      <c r="F86" s="336">
        <v>1.0313000000000001</v>
      </c>
      <c r="G86" s="91"/>
      <c r="H86" s="91"/>
    </row>
    <row r="87" spans="1:8" ht="14">
      <c r="A87" s="239"/>
      <c r="B87" s="273" t="s">
        <v>115</v>
      </c>
      <c r="C87" s="327">
        <v>0.84379999999999999</v>
      </c>
      <c r="D87" s="328" t="s">
        <v>181</v>
      </c>
      <c r="E87" s="327">
        <v>0.8125</v>
      </c>
      <c r="F87" s="336">
        <v>1.0313000000000001</v>
      </c>
      <c r="G87" s="91"/>
      <c r="H87" s="91"/>
    </row>
    <row r="88" spans="1:8" ht="14">
      <c r="A88" s="239"/>
      <c r="B88" s="273" t="s">
        <v>116</v>
      </c>
      <c r="C88" s="327">
        <v>0.84379999999999999</v>
      </c>
      <c r="D88" s="328" t="s">
        <v>181</v>
      </c>
      <c r="E88" s="327">
        <v>0.8125</v>
      </c>
      <c r="F88" s="336">
        <v>1.0313000000000001</v>
      </c>
      <c r="G88" s="91"/>
      <c r="H88" s="91"/>
    </row>
    <row r="89" spans="1:8" ht="14">
      <c r="A89" s="238">
        <v>2018</v>
      </c>
      <c r="B89" s="272" t="s">
        <v>105</v>
      </c>
      <c r="C89" s="332">
        <v>0.84379999999999999</v>
      </c>
      <c r="D89" s="333" t="s">
        <v>181</v>
      </c>
      <c r="E89" s="332">
        <v>0.8125</v>
      </c>
      <c r="F89" s="337">
        <v>1.0313000000000001</v>
      </c>
      <c r="G89" s="91"/>
      <c r="H89" s="91"/>
    </row>
    <row r="90" spans="1:8" ht="14">
      <c r="A90" s="239"/>
      <c r="B90" s="273" t="s">
        <v>106</v>
      </c>
      <c r="C90" s="327">
        <v>0.875</v>
      </c>
      <c r="D90" s="328" t="s">
        <v>181</v>
      </c>
      <c r="E90" s="327">
        <v>0.8125</v>
      </c>
      <c r="F90" s="336">
        <v>1.03125</v>
      </c>
      <c r="G90" s="91"/>
      <c r="H90" s="91"/>
    </row>
    <row r="91" spans="1:8" ht="14">
      <c r="A91" s="239"/>
      <c r="B91" s="273" t="s">
        <v>107</v>
      </c>
      <c r="C91" s="327">
        <v>0.875</v>
      </c>
      <c r="D91" s="328" t="s">
        <v>181</v>
      </c>
      <c r="E91" s="327">
        <v>0.8125</v>
      </c>
      <c r="F91" s="336">
        <v>1.0833333333333333</v>
      </c>
      <c r="G91" s="91"/>
      <c r="H91" s="91"/>
    </row>
    <row r="92" spans="1:8" ht="14">
      <c r="A92" s="239"/>
      <c r="B92" s="273" t="s">
        <v>108</v>
      </c>
      <c r="C92" s="327">
        <v>0.90625</v>
      </c>
      <c r="D92" s="328" t="s">
        <v>181</v>
      </c>
      <c r="E92" s="327">
        <v>0.8125</v>
      </c>
      <c r="F92" s="336">
        <v>1.1875</v>
      </c>
      <c r="G92" s="91"/>
      <c r="H92" s="91"/>
    </row>
    <row r="93" spans="1:8" ht="14">
      <c r="A93" s="239"/>
      <c r="B93" s="273" t="s">
        <v>109</v>
      </c>
      <c r="C93" s="327">
        <v>0.96879999999999999</v>
      </c>
      <c r="D93" s="328" t="s">
        <v>181</v>
      </c>
      <c r="E93" s="327" t="s">
        <v>181</v>
      </c>
      <c r="F93" s="336">
        <v>1.1875</v>
      </c>
      <c r="G93" s="91"/>
      <c r="H93" s="91"/>
    </row>
    <row r="94" spans="1:8" ht="14">
      <c r="A94" s="239"/>
      <c r="B94" s="273" t="s">
        <v>110</v>
      </c>
      <c r="C94" s="327">
        <v>0.96875</v>
      </c>
      <c r="D94" s="328" t="s">
        <v>181</v>
      </c>
      <c r="E94" s="327" t="s">
        <v>181</v>
      </c>
      <c r="F94" s="336">
        <v>1.2083333333333333</v>
      </c>
      <c r="G94" s="91"/>
      <c r="H94" s="91"/>
    </row>
    <row r="95" spans="1:8" ht="14">
      <c r="A95" s="239"/>
      <c r="B95" s="273" t="s">
        <v>117</v>
      </c>
      <c r="C95" s="327">
        <v>1</v>
      </c>
      <c r="D95" s="327" t="s">
        <v>181</v>
      </c>
      <c r="E95" s="327" t="s">
        <v>181</v>
      </c>
      <c r="F95" s="327">
        <v>1.2083333333333333</v>
      </c>
      <c r="G95" s="91"/>
      <c r="H95" s="91"/>
    </row>
    <row r="96" spans="1:8" ht="14">
      <c r="A96" s="239"/>
      <c r="B96" s="273" t="s">
        <v>112</v>
      </c>
      <c r="C96" s="327">
        <v>1.15625</v>
      </c>
      <c r="D96" s="327" t="s">
        <v>181</v>
      </c>
      <c r="E96" s="327" t="s">
        <v>181</v>
      </c>
      <c r="F96" s="327">
        <v>1.2083333333333333</v>
      </c>
      <c r="G96" s="91"/>
      <c r="H96" s="91"/>
    </row>
    <row r="97" spans="1:8" ht="14">
      <c r="A97" s="239"/>
      <c r="B97" s="273" t="s">
        <v>113</v>
      </c>
      <c r="C97" s="327">
        <v>1.15625</v>
      </c>
      <c r="D97" s="327" t="s">
        <v>181</v>
      </c>
      <c r="E97" s="327" t="s">
        <v>181</v>
      </c>
      <c r="F97" s="327">
        <v>1.2813000000000001</v>
      </c>
      <c r="G97" s="91"/>
      <c r="H97" s="91"/>
    </row>
    <row r="98" spans="1:8" ht="14">
      <c r="A98" s="239"/>
      <c r="B98" s="273" t="s">
        <v>114</v>
      </c>
      <c r="C98" s="327">
        <v>1.3125</v>
      </c>
      <c r="D98" s="327" t="s">
        <v>181</v>
      </c>
      <c r="E98" s="327" t="s">
        <v>181</v>
      </c>
      <c r="F98" s="327">
        <v>1.3125</v>
      </c>
      <c r="G98" s="91"/>
      <c r="H98" s="91"/>
    </row>
    <row r="99" spans="1:8" ht="14">
      <c r="A99" s="239"/>
      <c r="B99" s="273" t="s">
        <v>115</v>
      </c>
      <c r="C99" s="327">
        <v>1.3438000000000001</v>
      </c>
      <c r="D99" s="327" t="s">
        <v>181</v>
      </c>
      <c r="E99" s="327" t="s">
        <v>181</v>
      </c>
      <c r="F99" s="327">
        <v>1.3125</v>
      </c>
      <c r="G99" s="91"/>
      <c r="H99" s="91"/>
    </row>
    <row r="100" spans="1:8" ht="14">
      <c r="A100" s="240"/>
      <c r="B100" s="274" t="s">
        <v>116</v>
      </c>
      <c r="C100" s="329">
        <v>1.3438000000000001</v>
      </c>
      <c r="D100" s="329" t="s">
        <v>181</v>
      </c>
      <c r="E100" s="329" t="s">
        <v>181</v>
      </c>
      <c r="F100" s="329">
        <v>1.4218999999999999</v>
      </c>
      <c r="G100" s="91"/>
      <c r="H100" s="91"/>
    </row>
    <row r="101" spans="1:8" ht="14">
      <c r="A101" s="238">
        <v>2019</v>
      </c>
      <c r="B101" s="272" t="s">
        <v>105</v>
      </c>
      <c r="C101" s="333">
        <v>1.4688000000000001</v>
      </c>
      <c r="D101" s="332" t="s">
        <v>181</v>
      </c>
      <c r="E101" s="332" t="s">
        <v>181</v>
      </c>
      <c r="F101" s="332">
        <v>1.4218999999999999</v>
      </c>
      <c r="G101" s="91"/>
      <c r="H101" s="91"/>
    </row>
    <row r="102" spans="1:8" ht="14">
      <c r="A102" s="239"/>
      <c r="B102" s="273" t="s">
        <v>106</v>
      </c>
      <c r="C102" s="328">
        <v>1.625</v>
      </c>
      <c r="D102" s="327" t="s">
        <v>181</v>
      </c>
      <c r="E102" s="327" t="s">
        <v>181</v>
      </c>
      <c r="F102" s="327">
        <v>1.4218999999999999</v>
      </c>
      <c r="G102" s="91"/>
      <c r="H102" s="91"/>
    </row>
    <row r="103" spans="1:8" ht="14">
      <c r="A103" s="239"/>
      <c r="B103" s="273" t="s">
        <v>107</v>
      </c>
      <c r="C103" s="328">
        <v>1.625</v>
      </c>
      <c r="D103" s="327" t="s">
        <v>181</v>
      </c>
      <c r="E103" s="327" t="s">
        <v>181</v>
      </c>
      <c r="F103" s="327">
        <v>1.5781000000000001</v>
      </c>
      <c r="G103" s="91"/>
      <c r="H103" s="91"/>
    </row>
    <row r="104" spans="1:8" ht="14">
      <c r="A104" s="239"/>
      <c r="B104" s="273" t="s">
        <v>108</v>
      </c>
      <c r="C104" s="328">
        <v>1.6563000000000001</v>
      </c>
      <c r="D104" s="327" t="s">
        <v>181</v>
      </c>
      <c r="E104" s="327" t="s">
        <v>181</v>
      </c>
      <c r="F104" s="327">
        <v>1.5781000000000001</v>
      </c>
      <c r="G104" s="91"/>
      <c r="H104" s="91"/>
    </row>
    <row r="105" spans="1:8" ht="14">
      <c r="A105" s="239"/>
      <c r="B105" s="273" t="s">
        <v>109</v>
      </c>
      <c r="C105" s="328">
        <v>1.6563000000000001</v>
      </c>
      <c r="D105" s="327" t="s">
        <v>181</v>
      </c>
      <c r="E105" s="327" t="s">
        <v>181</v>
      </c>
      <c r="F105" s="327">
        <v>1.5781000000000001</v>
      </c>
      <c r="G105" s="91"/>
      <c r="H105" s="91"/>
    </row>
    <row r="106" spans="1:8" ht="14">
      <c r="A106" s="239"/>
      <c r="B106" s="273" t="s">
        <v>110</v>
      </c>
      <c r="C106" s="328">
        <v>1.65625</v>
      </c>
      <c r="D106" s="327" t="s">
        <v>181</v>
      </c>
      <c r="E106" s="327" t="s">
        <v>181</v>
      </c>
      <c r="F106" s="327">
        <v>1.671875</v>
      </c>
      <c r="G106" s="91"/>
      <c r="H106" s="91"/>
    </row>
    <row r="107" spans="1:8" ht="14">
      <c r="A107" s="239"/>
      <c r="B107" s="273" t="s">
        <v>117</v>
      </c>
      <c r="C107" s="328">
        <v>1.6563000000000001</v>
      </c>
      <c r="D107" s="327" t="s">
        <v>181</v>
      </c>
      <c r="E107" s="327" t="s">
        <v>181</v>
      </c>
      <c r="F107" s="327">
        <v>1.6718999999999999</v>
      </c>
      <c r="G107" s="91"/>
      <c r="H107" s="91"/>
    </row>
    <row r="108" spans="1:8" ht="14">
      <c r="A108" s="239"/>
      <c r="B108" s="273" t="s">
        <v>112</v>
      </c>
      <c r="C108" s="328">
        <v>1.5</v>
      </c>
      <c r="D108" s="327" t="s">
        <v>181</v>
      </c>
      <c r="E108" s="327" t="s">
        <v>181</v>
      </c>
      <c r="F108" s="327">
        <v>1.6718999999999999</v>
      </c>
      <c r="G108" s="91"/>
      <c r="H108" s="91"/>
    </row>
    <row r="109" spans="1:8" ht="14">
      <c r="A109" s="239"/>
      <c r="B109" s="273" t="s">
        <v>113</v>
      </c>
      <c r="C109" s="327">
        <v>1.5</v>
      </c>
      <c r="D109" s="327" t="s">
        <v>181</v>
      </c>
      <c r="E109" s="327" t="s">
        <v>181</v>
      </c>
      <c r="F109" s="327">
        <v>1.7031000000000001</v>
      </c>
      <c r="G109" s="91"/>
      <c r="H109" s="91"/>
    </row>
    <row r="110" spans="1:8" ht="14">
      <c r="A110" s="239"/>
      <c r="B110" s="273" t="s">
        <v>114</v>
      </c>
      <c r="C110" s="328">
        <v>1.375</v>
      </c>
      <c r="D110" s="327" t="s">
        <v>181</v>
      </c>
      <c r="E110" s="327" t="s">
        <v>181</v>
      </c>
      <c r="F110" s="327">
        <v>1.7031000000000001</v>
      </c>
      <c r="G110" s="91"/>
      <c r="H110" s="91"/>
    </row>
    <row r="111" spans="1:8" ht="14">
      <c r="A111" s="239"/>
      <c r="B111" s="273" t="s">
        <v>115</v>
      </c>
      <c r="C111" s="327">
        <v>1.4063000000000001</v>
      </c>
      <c r="D111" s="327" t="s">
        <v>181</v>
      </c>
      <c r="E111" s="327" t="s">
        <v>181</v>
      </c>
      <c r="F111" s="327">
        <v>1.7031000000000001</v>
      </c>
      <c r="G111" s="91"/>
      <c r="H111" s="91"/>
    </row>
    <row r="112" spans="1:8" ht="14">
      <c r="A112" s="285"/>
      <c r="B112" s="274" t="s">
        <v>116</v>
      </c>
      <c r="C112" s="330">
        <v>1.4063000000000001</v>
      </c>
      <c r="D112" s="329" t="s">
        <v>181</v>
      </c>
      <c r="E112" s="329" t="s">
        <v>181</v>
      </c>
      <c r="F112" s="329">
        <v>1.5468999999999999</v>
      </c>
      <c r="G112" s="91"/>
      <c r="H112" s="91"/>
    </row>
    <row r="113" spans="1:8" ht="14">
      <c r="A113" s="238">
        <v>2020</v>
      </c>
      <c r="B113" s="272" t="s">
        <v>105</v>
      </c>
      <c r="C113" s="332">
        <v>1.4063000000000001</v>
      </c>
      <c r="D113" s="332" t="s">
        <v>181</v>
      </c>
      <c r="E113" s="332" t="s">
        <v>181</v>
      </c>
      <c r="F113" s="332">
        <v>1.5468999999999999</v>
      </c>
      <c r="G113" s="91"/>
      <c r="H113" s="91"/>
    </row>
    <row r="114" spans="1:8" ht="14">
      <c r="A114" s="239"/>
      <c r="B114" s="273" t="s">
        <v>106</v>
      </c>
      <c r="C114" s="327">
        <v>1.25</v>
      </c>
      <c r="D114" s="327" t="s">
        <v>181</v>
      </c>
      <c r="E114" s="327" t="s">
        <v>181</v>
      </c>
      <c r="F114" s="327">
        <v>1.5468999999999999</v>
      </c>
      <c r="G114" s="91"/>
      <c r="H114" s="91"/>
    </row>
    <row r="115" spans="1:8" ht="14">
      <c r="A115" s="239"/>
      <c r="B115" s="273" t="s">
        <v>107</v>
      </c>
      <c r="C115" s="327">
        <v>1.25</v>
      </c>
      <c r="D115" s="327" t="s">
        <v>181</v>
      </c>
      <c r="E115" s="327" t="s">
        <v>181</v>
      </c>
      <c r="F115" s="327">
        <v>1.3593999999999999</v>
      </c>
      <c r="G115" s="91"/>
      <c r="H115" s="91"/>
    </row>
    <row r="116" spans="1:8" ht="14">
      <c r="A116" s="239"/>
      <c r="B116" s="273" t="s">
        <v>108</v>
      </c>
      <c r="C116" s="327">
        <v>0.96879999999999999</v>
      </c>
      <c r="D116" s="327" t="s">
        <v>181</v>
      </c>
      <c r="E116" s="327" t="s">
        <v>181</v>
      </c>
      <c r="F116" s="327">
        <v>1.3593999999999999</v>
      </c>
      <c r="G116" s="91"/>
      <c r="H116" s="91"/>
    </row>
    <row r="117" spans="1:8" ht="14">
      <c r="A117" s="239"/>
      <c r="B117" s="273" t="s">
        <v>109</v>
      </c>
      <c r="C117" s="327">
        <v>0.59379999999999999</v>
      </c>
      <c r="D117" s="327" t="s">
        <v>181</v>
      </c>
      <c r="E117" s="327" t="s">
        <v>181</v>
      </c>
      <c r="F117" s="327">
        <v>1.3593999999999999</v>
      </c>
      <c r="G117" s="91"/>
      <c r="H117" s="91"/>
    </row>
    <row r="118" spans="1:8" ht="14">
      <c r="A118" s="239"/>
      <c r="B118" s="273" t="s">
        <v>110</v>
      </c>
      <c r="C118" s="336">
        <v>0.59379999999999999</v>
      </c>
      <c r="D118" s="327" t="s">
        <v>181</v>
      </c>
      <c r="E118" s="327" t="s">
        <v>181</v>
      </c>
      <c r="F118" s="327">
        <v>1.0156000000000001</v>
      </c>
      <c r="G118" s="91"/>
      <c r="H118" s="91"/>
    </row>
    <row r="119" spans="1:8" ht="14">
      <c r="A119" s="239"/>
      <c r="B119" s="273" t="s">
        <v>117</v>
      </c>
      <c r="C119" s="327">
        <v>0.28129999999999999</v>
      </c>
      <c r="D119" s="327" t="s">
        <v>181</v>
      </c>
      <c r="E119" s="327" t="s">
        <v>181</v>
      </c>
      <c r="F119" s="327">
        <v>1.0156000000000001</v>
      </c>
      <c r="G119" s="91"/>
      <c r="H119" s="91"/>
    </row>
    <row r="120" spans="1:8" ht="14">
      <c r="A120" s="239"/>
      <c r="B120" s="273" t="s">
        <v>112</v>
      </c>
      <c r="C120" s="336">
        <v>0.1875</v>
      </c>
      <c r="D120" s="327" t="s">
        <v>181</v>
      </c>
      <c r="E120" s="327" t="s">
        <v>181</v>
      </c>
      <c r="F120" s="327">
        <v>1.0156000000000001</v>
      </c>
      <c r="G120" s="91"/>
      <c r="H120" s="91"/>
    </row>
    <row r="121" spans="1:8" ht="14">
      <c r="A121" s="239"/>
      <c r="B121" s="273" t="s">
        <v>113</v>
      </c>
      <c r="C121" s="327">
        <v>0.1875</v>
      </c>
      <c r="D121" s="327" t="s">
        <v>181</v>
      </c>
      <c r="E121" s="327" t="s">
        <v>181</v>
      </c>
      <c r="F121" s="327">
        <v>0.67190000000000005</v>
      </c>
      <c r="G121" s="91"/>
      <c r="H121" s="91"/>
    </row>
    <row r="122" spans="1:8" ht="14">
      <c r="A122" s="239"/>
      <c r="B122" s="273" t="s">
        <v>114</v>
      </c>
      <c r="C122" s="328">
        <v>0.15629999999999999</v>
      </c>
      <c r="D122" s="327" t="s">
        <v>181</v>
      </c>
      <c r="E122" s="327" t="s">
        <v>181</v>
      </c>
      <c r="F122" s="327">
        <v>0.67190000000000005</v>
      </c>
      <c r="G122" s="91"/>
      <c r="H122" s="91"/>
    </row>
    <row r="123" spans="1:8" ht="14">
      <c r="A123" s="239"/>
      <c r="B123" s="273" t="s">
        <v>115</v>
      </c>
      <c r="C123" s="328">
        <v>0.125</v>
      </c>
      <c r="D123" s="327" t="s">
        <v>181</v>
      </c>
      <c r="E123" s="327" t="s">
        <v>181</v>
      </c>
      <c r="F123" s="327">
        <v>0.67190000000000005</v>
      </c>
      <c r="G123" s="91"/>
      <c r="H123" s="91"/>
    </row>
    <row r="124" spans="1:8" ht="14">
      <c r="A124" s="240"/>
      <c r="B124" s="274" t="s">
        <v>116</v>
      </c>
      <c r="C124" s="330">
        <v>0.125</v>
      </c>
      <c r="D124" s="329" t="s">
        <v>181</v>
      </c>
      <c r="E124" s="329" t="s">
        <v>181</v>
      </c>
      <c r="F124" s="329">
        <v>0.40629999999999999</v>
      </c>
      <c r="G124" s="91"/>
      <c r="H124" s="91"/>
    </row>
    <row r="125" spans="1:8" ht="14">
      <c r="A125" s="238">
        <v>2021</v>
      </c>
      <c r="B125" s="272" t="s">
        <v>105</v>
      </c>
      <c r="C125" s="333">
        <v>6.25E-2</v>
      </c>
      <c r="D125" s="332" t="s">
        <v>181</v>
      </c>
      <c r="E125" s="332" t="s">
        <v>181</v>
      </c>
      <c r="F125" s="332">
        <v>0.40629999999999999</v>
      </c>
      <c r="G125" s="91"/>
      <c r="H125" s="91"/>
    </row>
    <row r="126" spans="1:8" ht="14">
      <c r="A126" s="239"/>
      <c r="B126" s="273" t="s">
        <v>106</v>
      </c>
      <c r="C126" s="328">
        <v>0.125</v>
      </c>
      <c r="D126" s="327" t="s">
        <v>181</v>
      </c>
      <c r="E126" s="327" t="s">
        <v>181</v>
      </c>
      <c r="F126" s="327">
        <v>0.40629999999999999</v>
      </c>
      <c r="G126" s="91"/>
      <c r="H126" s="91"/>
    </row>
    <row r="127" spans="1:8" ht="14">
      <c r="A127" s="239"/>
      <c r="B127" s="273" t="s">
        <v>107</v>
      </c>
      <c r="C127" s="336">
        <v>0.125</v>
      </c>
      <c r="D127" s="327" t="s">
        <v>181</v>
      </c>
      <c r="E127" s="327" t="s">
        <v>181</v>
      </c>
      <c r="F127" s="327">
        <v>0.21879999999999999</v>
      </c>
      <c r="G127" s="91"/>
      <c r="H127" s="91"/>
    </row>
    <row r="128" spans="1:8" ht="14">
      <c r="A128" s="239"/>
      <c r="B128" s="273" t="s">
        <v>108</v>
      </c>
      <c r="C128" s="328">
        <v>0.25</v>
      </c>
      <c r="D128" s="327" t="s">
        <v>181</v>
      </c>
      <c r="E128" s="327" t="s">
        <v>181</v>
      </c>
      <c r="F128" s="327">
        <v>0.21879999999999999</v>
      </c>
      <c r="G128" s="91"/>
      <c r="H128" s="91"/>
    </row>
    <row r="129" spans="1:8" ht="14">
      <c r="A129" s="239"/>
      <c r="B129" s="273" t="s">
        <v>109</v>
      </c>
      <c r="C129" s="328">
        <v>0.21879999999999999</v>
      </c>
      <c r="D129" s="327" t="s">
        <v>181</v>
      </c>
      <c r="E129" s="327" t="s">
        <v>181</v>
      </c>
      <c r="F129" s="327">
        <v>0.21879999999999999</v>
      </c>
      <c r="G129" s="91"/>
      <c r="H129" s="91"/>
    </row>
    <row r="130" spans="1:8" ht="14">
      <c r="A130" s="239"/>
      <c r="B130" s="273" t="s">
        <v>110</v>
      </c>
      <c r="C130" s="328">
        <v>0.21879999999999999</v>
      </c>
      <c r="D130" s="327" t="s">
        <v>181</v>
      </c>
      <c r="E130" s="327" t="s">
        <v>181</v>
      </c>
      <c r="F130" s="327">
        <v>0.20830000000000001</v>
      </c>
      <c r="G130" s="91"/>
      <c r="H130" s="91"/>
    </row>
    <row r="131" spans="1:8" ht="14">
      <c r="A131" s="239"/>
      <c r="B131" s="273" t="s">
        <v>117</v>
      </c>
      <c r="C131" s="328">
        <v>0.1875</v>
      </c>
      <c r="D131" s="327" t="s">
        <v>181</v>
      </c>
      <c r="E131" s="327" t="s">
        <v>181</v>
      </c>
      <c r="F131" s="327">
        <v>0.20833333333333334</v>
      </c>
      <c r="G131" s="91"/>
      <c r="H131" s="91"/>
    </row>
    <row r="132" spans="1:8" ht="14">
      <c r="A132" s="239"/>
      <c r="B132" s="273" t="s">
        <v>112</v>
      </c>
      <c r="C132" s="328">
        <v>0.1875</v>
      </c>
      <c r="D132" s="327" t="s">
        <v>181</v>
      </c>
      <c r="E132" s="327" t="s">
        <v>181</v>
      </c>
      <c r="F132" s="327">
        <v>0.20833333333333334</v>
      </c>
      <c r="G132" s="91"/>
      <c r="H132" s="91"/>
    </row>
    <row r="133" spans="1:8" ht="14">
      <c r="A133" s="239"/>
      <c r="B133" s="273" t="s">
        <v>113</v>
      </c>
      <c r="C133" s="328">
        <v>0.1875</v>
      </c>
      <c r="D133" s="327" t="s">
        <v>181</v>
      </c>
      <c r="E133" s="327" t="s">
        <v>181</v>
      </c>
      <c r="F133" s="327">
        <v>0.1875</v>
      </c>
      <c r="G133" s="91"/>
      <c r="H133" s="91"/>
    </row>
    <row r="134" spans="1:8" ht="14">
      <c r="A134" s="239"/>
      <c r="B134" s="273" t="s">
        <v>114</v>
      </c>
      <c r="C134" s="328">
        <v>0.1875</v>
      </c>
      <c r="D134" s="327" t="s">
        <v>181</v>
      </c>
      <c r="E134" s="327" t="s">
        <v>181</v>
      </c>
      <c r="F134" s="327">
        <v>0.1875</v>
      </c>
      <c r="G134" s="91"/>
      <c r="H134" s="91"/>
    </row>
    <row r="135" spans="1:8" ht="14">
      <c r="A135" s="239"/>
      <c r="B135" s="273" t="s">
        <v>115</v>
      </c>
      <c r="C135" s="328">
        <v>0.21879999999999999</v>
      </c>
      <c r="D135" s="327" t="s">
        <v>181</v>
      </c>
      <c r="E135" s="327" t="s">
        <v>181</v>
      </c>
      <c r="F135" s="327">
        <v>0.1875</v>
      </c>
      <c r="G135" s="91"/>
      <c r="H135" s="91"/>
    </row>
    <row r="136" spans="1:8" ht="14">
      <c r="A136" s="240"/>
      <c r="B136" s="274" t="s">
        <v>116</v>
      </c>
      <c r="C136" s="342">
        <v>0.21879999999999999</v>
      </c>
      <c r="D136" s="329" t="s">
        <v>181</v>
      </c>
      <c r="E136" s="329" t="s">
        <v>181</v>
      </c>
      <c r="F136" s="329">
        <v>0.25</v>
      </c>
      <c r="G136" s="91"/>
      <c r="H136" s="91"/>
    </row>
    <row r="137" spans="1:8" ht="14">
      <c r="A137" s="238">
        <v>2022</v>
      </c>
      <c r="B137" s="272" t="s">
        <v>105</v>
      </c>
      <c r="C137" s="332">
        <v>0.25</v>
      </c>
      <c r="D137" s="332" t="s">
        <v>181</v>
      </c>
      <c r="E137" s="332" t="s">
        <v>181</v>
      </c>
      <c r="F137" s="332">
        <v>0.25</v>
      </c>
      <c r="G137" s="91"/>
      <c r="H137" s="91"/>
    </row>
    <row r="138" spans="1:8" ht="14">
      <c r="A138" s="239"/>
      <c r="B138" s="273" t="s">
        <v>106</v>
      </c>
      <c r="C138" s="327">
        <v>0.28129999999999999</v>
      </c>
      <c r="D138" s="327" t="s">
        <v>181</v>
      </c>
      <c r="E138" s="327" t="s">
        <v>181</v>
      </c>
      <c r="F138" s="327">
        <v>0.25</v>
      </c>
      <c r="G138" s="91"/>
      <c r="H138" s="91"/>
    </row>
    <row r="139" spans="1:8" ht="14">
      <c r="A139" s="239"/>
      <c r="B139" s="273" t="s">
        <v>107</v>
      </c>
      <c r="C139" s="327">
        <v>0.28129999999999999</v>
      </c>
      <c r="D139" s="327" t="s">
        <v>181</v>
      </c>
      <c r="E139" s="327" t="s">
        <v>181</v>
      </c>
      <c r="F139" s="327">
        <v>0.46879999999999999</v>
      </c>
      <c r="G139" s="91"/>
      <c r="H139" s="91"/>
    </row>
    <row r="140" spans="1:8" ht="14">
      <c r="A140" s="239"/>
      <c r="B140" s="273" t="s">
        <v>108</v>
      </c>
      <c r="C140" s="327">
        <v>0.5625</v>
      </c>
      <c r="D140" s="327" t="s">
        <v>181</v>
      </c>
      <c r="E140" s="327" t="s">
        <v>181</v>
      </c>
      <c r="F140" s="327">
        <v>0.46879999999999999</v>
      </c>
      <c r="G140" s="91"/>
      <c r="H140" s="91"/>
    </row>
    <row r="141" spans="1:8" ht="14">
      <c r="A141" s="239"/>
      <c r="B141" s="273" t="s">
        <v>109</v>
      </c>
      <c r="C141" s="327">
        <v>0.90629999999999999</v>
      </c>
      <c r="D141" s="327" t="s">
        <v>181</v>
      </c>
      <c r="E141" s="327" t="s">
        <v>181</v>
      </c>
      <c r="F141" s="327">
        <v>0.46879999999999999</v>
      </c>
      <c r="G141" s="91"/>
      <c r="H141" s="91"/>
    </row>
    <row r="142" spans="1:8" ht="14">
      <c r="A142" s="239"/>
      <c r="B142" s="273" t="s">
        <v>110</v>
      </c>
      <c r="C142" s="327">
        <v>0.90629999999999999</v>
      </c>
      <c r="D142" s="327" t="s">
        <v>181</v>
      </c>
      <c r="E142" s="327" t="s">
        <v>181</v>
      </c>
      <c r="F142" s="327">
        <v>0.46879999999999999</v>
      </c>
      <c r="G142" s="91"/>
      <c r="H142" s="91"/>
    </row>
    <row r="143" spans="1:8" ht="14">
      <c r="A143" s="239"/>
      <c r="B143" s="273" t="s">
        <v>117</v>
      </c>
      <c r="C143" s="327">
        <v>1.3438000000000001</v>
      </c>
      <c r="D143" s="327" t="s">
        <v>181</v>
      </c>
      <c r="E143" s="327" t="s">
        <v>181</v>
      </c>
      <c r="F143" s="327">
        <v>0.46879999999999999</v>
      </c>
      <c r="G143" s="91"/>
      <c r="H143" s="91"/>
    </row>
    <row r="144" spans="1:8" ht="14">
      <c r="A144" s="239"/>
      <c r="B144" s="273" t="s">
        <v>112</v>
      </c>
      <c r="C144" s="327">
        <v>1.7188000000000001</v>
      </c>
      <c r="D144" s="327" t="s">
        <v>181</v>
      </c>
      <c r="E144" s="327" t="s">
        <v>181</v>
      </c>
      <c r="F144" s="327">
        <v>0.46879999999999999</v>
      </c>
      <c r="G144" s="91"/>
      <c r="H144" s="91"/>
    </row>
    <row r="145" spans="1:8" ht="14">
      <c r="A145" s="239"/>
      <c r="B145" s="273" t="s">
        <v>113</v>
      </c>
      <c r="C145" s="327">
        <v>1.7188000000000001</v>
      </c>
      <c r="D145" s="327" t="s">
        <v>181</v>
      </c>
      <c r="E145" s="327" t="s">
        <v>181</v>
      </c>
      <c r="F145" s="327">
        <v>1.625</v>
      </c>
      <c r="G145" s="91"/>
      <c r="H145" s="91"/>
    </row>
    <row r="146" spans="1:8" ht="14">
      <c r="A146" s="239"/>
      <c r="B146" s="273" t="s">
        <v>114</v>
      </c>
      <c r="C146" s="327">
        <v>2.4375</v>
      </c>
      <c r="D146" s="327" t="s">
        <v>181</v>
      </c>
      <c r="E146" s="327" t="s">
        <v>181</v>
      </c>
      <c r="F146" s="327">
        <v>1.625</v>
      </c>
      <c r="G146" s="91"/>
      <c r="H146" s="91"/>
    </row>
    <row r="147" spans="1:8" ht="14">
      <c r="A147" s="239"/>
      <c r="B147" s="273" t="s">
        <v>115</v>
      </c>
      <c r="C147" s="327">
        <v>3.375</v>
      </c>
      <c r="D147" s="327" t="s">
        <v>181</v>
      </c>
      <c r="E147" s="327" t="s">
        <v>181</v>
      </c>
      <c r="F147" s="327">
        <v>1.625</v>
      </c>
      <c r="G147" s="91"/>
      <c r="H147" s="91"/>
    </row>
    <row r="148" spans="1:8" ht="14">
      <c r="A148" s="285"/>
      <c r="B148" s="274" t="s">
        <v>116</v>
      </c>
      <c r="C148" s="329">
        <v>3.375</v>
      </c>
      <c r="D148" s="329" t="s">
        <v>181</v>
      </c>
      <c r="E148" s="329" t="s">
        <v>181</v>
      </c>
      <c r="F148" s="329">
        <v>1.625</v>
      </c>
      <c r="G148" s="91"/>
      <c r="H148" s="91"/>
    </row>
    <row r="149" spans="1:8" ht="14">
      <c r="A149" s="238">
        <v>2023</v>
      </c>
      <c r="B149" s="272" t="s">
        <v>105</v>
      </c>
      <c r="C149" s="332">
        <v>3.625</v>
      </c>
      <c r="D149" s="332" t="s">
        <v>181</v>
      </c>
      <c r="E149" s="332" t="s">
        <v>181</v>
      </c>
      <c r="F149" s="332">
        <v>1.625</v>
      </c>
      <c r="G149" s="91"/>
      <c r="H149" s="91"/>
    </row>
    <row r="150" spans="1:8" ht="14">
      <c r="A150" s="239"/>
      <c r="B150" s="273" t="s">
        <v>106</v>
      </c>
      <c r="C150" s="327">
        <v>3.8125</v>
      </c>
      <c r="D150" s="327" t="s">
        <v>181</v>
      </c>
      <c r="E150" s="327" t="s">
        <v>181</v>
      </c>
      <c r="F150" s="327">
        <v>1.625</v>
      </c>
      <c r="G150" s="91"/>
      <c r="H150" s="91"/>
    </row>
    <row r="151" spans="1:8" ht="14">
      <c r="A151" s="239"/>
      <c r="B151" s="273" t="s">
        <v>107</v>
      </c>
      <c r="C151" s="327">
        <v>3.8125</v>
      </c>
      <c r="D151" s="327" t="s">
        <v>181</v>
      </c>
      <c r="E151" s="327" t="s">
        <v>181</v>
      </c>
      <c r="F151" s="327">
        <v>3.0937999999999999</v>
      </c>
      <c r="G151" s="91"/>
      <c r="H151" s="91"/>
    </row>
    <row r="152" spans="1:8" ht="14">
      <c r="A152" s="239"/>
      <c r="B152" s="273" t="s">
        <v>108</v>
      </c>
      <c r="C152" s="327">
        <v>3.7187999999999999</v>
      </c>
      <c r="D152" s="327" t="s">
        <v>181</v>
      </c>
      <c r="E152" s="327" t="s">
        <v>181</v>
      </c>
      <c r="F152" s="327">
        <v>3.0937999999999999</v>
      </c>
      <c r="G152" s="91"/>
      <c r="H152" s="91"/>
    </row>
    <row r="153" spans="1:8" ht="14">
      <c r="A153" s="239"/>
      <c r="B153" s="273" t="s">
        <v>109</v>
      </c>
      <c r="C153" s="327">
        <v>3.5625</v>
      </c>
      <c r="D153" s="327" t="s">
        <v>181</v>
      </c>
      <c r="E153" s="327" t="s">
        <v>181</v>
      </c>
      <c r="F153" s="327">
        <v>3.0937999999999999</v>
      </c>
      <c r="G153" s="91"/>
      <c r="H153" s="91"/>
    </row>
    <row r="154" spans="1:8" ht="14">
      <c r="A154" s="239"/>
      <c r="B154" s="273" t="s">
        <v>110</v>
      </c>
      <c r="C154" s="327">
        <v>3.5625</v>
      </c>
      <c r="D154" s="327" t="s">
        <v>181</v>
      </c>
      <c r="E154" s="327" t="s">
        <v>181</v>
      </c>
      <c r="F154" s="327">
        <v>3.1667000000000001</v>
      </c>
      <c r="G154" s="91"/>
      <c r="H154" s="91"/>
    </row>
    <row r="155" spans="1:8" ht="14">
      <c r="A155" s="239"/>
      <c r="B155" s="273" t="s">
        <v>117</v>
      </c>
      <c r="C155" s="327">
        <v>3.5937999999999999</v>
      </c>
      <c r="D155" s="327" t="s">
        <v>181</v>
      </c>
      <c r="E155" s="327" t="s">
        <v>181</v>
      </c>
      <c r="F155" s="327">
        <v>3.1667000000000001</v>
      </c>
      <c r="G155" s="91"/>
      <c r="H155" s="91"/>
    </row>
    <row r="156" spans="1:8" ht="14">
      <c r="A156" s="239"/>
      <c r="B156" s="273" t="s">
        <v>112</v>
      </c>
      <c r="C156" s="327">
        <v>3.625</v>
      </c>
      <c r="D156" s="327" t="s">
        <v>181</v>
      </c>
      <c r="E156" s="327" t="s">
        <v>181</v>
      </c>
      <c r="F156" s="327">
        <v>3.1667000000000001</v>
      </c>
      <c r="G156" s="91"/>
      <c r="H156" s="91"/>
    </row>
    <row r="157" spans="1:8" ht="14">
      <c r="A157" s="239"/>
      <c r="B157" s="273" t="s">
        <v>113</v>
      </c>
      <c r="C157" s="327">
        <v>3.625</v>
      </c>
      <c r="D157" s="327" t="s">
        <v>181</v>
      </c>
      <c r="E157" s="327" t="s">
        <v>181</v>
      </c>
      <c r="F157" s="327">
        <v>3.4375</v>
      </c>
      <c r="G157" s="91"/>
      <c r="H157" s="91"/>
    </row>
    <row r="158" spans="1:8" ht="14">
      <c r="A158" s="239"/>
      <c r="B158" s="273" t="s">
        <v>114</v>
      </c>
      <c r="C158" s="327">
        <v>3.625</v>
      </c>
      <c r="D158" s="327" t="s">
        <v>181</v>
      </c>
      <c r="E158" s="327" t="s">
        <v>181</v>
      </c>
      <c r="F158" s="327">
        <v>3.4375</v>
      </c>
      <c r="G158" s="91"/>
      <c r="H158" s="91"/>
    </row>
    <row r="159" spans="1:8" ht="14">
      <c r="A159" s="239"/>
      <c r="B159" s="273" t="s">
        <v>115</v>
      </c>
      <c r="C159" s="327">
        <v>3.625</v>
      </c>
      <c r="D159" s="327" t="s">
        <v>181</v>
      </c>
      <c r="E159" s="327" t="s">
        <v>181</v>
      </c>
      <c r="F159" s="327">
        <v>3.4375</v>
      </c>
      <c r="G159" s="91"/>
      <c r="H159" s="91"/>
    </row>
    <row r="160" spans="1:8" ht="14">
      <c r="A160" s="240"/>
      <c r="B160" s="274" t="s">
        <v>116</v>
      </c>
      <c r="C160" s="329">
        <v>3.625</v>
      </c>
      <c r="D160" s="329" t="s">
        <v>181</v>
      </c>
      <c r="E160" s="329" t="s">
        <v>181</v>
      </c>
      <c r="F160" s="329">
        <v>3.4375</v>
      </c>
      <c r="G160" s="91"/>
      <c r="H160" s="91"/>
    </row>
    <row r="161" spans="1:8" ht="14">
      <c r="A161" s="238">
        <v>2024</v>
      </c>
      <c r="B161" s="272" t="s">
        <v>105</v>
      </c>
      <c r="C161" s="332">
        <v>3.5</v>
      </c>
      <c r="D161" s="332" t="s">
        <v>181</v>
      </c>
      <c r="E161" s="332" t="s">
        <v>181</v>
      </c>
      <c r="F161" s="332">
        <v>3.4375</v>
      </c>
      <c r="G161" s="91"/>
      <c r="H161" s="91"/>
    </row>
    <row r="162" spans="1:8" ht="14">
      <c r="A162" s="239"/>
      <c r="B162" s="273" t="s">
        <v>106</v>
      </c>
      <c r="C162" s="327">
        <v>3.5</v>
      </c>
      <c r="D162" s="327" t="s">
        <v>181</v>
      </c>
      <c r="E162" s="327" t="s">
        <v>181</v>
      </c>
      <c r="F162" s="327">
        <v>3.3125</v>
      </c>
      <c r="G162" s="91"/>
      <c r="H162" s="91"/>
    </row>
    <row r="163" spans="1:8" ht="14">
      <c r="A163" s="239"/>
      <c r="B163" s="273" t="s">
        <v>107</v>
      </c>
      <c r="C163" s="327">
        <v>3.5</v>
      </c>
      <c r="D163" s="327" t="s">
        <v>181</v>
      </c>
      <c r="E163" s="327" t="s">
        <v>181</v>
      </c>
      <c r="F163" s="327">
        <v>3.3233000000000001</v>
      </c>
      <c r="G163" s="91"/>
      <c r="H163" s="91"/>
    </row>
    <row r="164" spans="1:8" ht="14">
      <c r="A164" s="239"/>
      <c r="B164" s="273" t="s">
        <v>108</v>
      </c>
      <c r="C164" s="327">
        <v>3.5625</v>
      </c>
      <c r="D164" s="327" t="s">
        <v>181</v>
      </c>
      <c r="E164" s="327" t="s">
        <v>181</v>
      </c>
      <c r="F164" s="327">
        <v>3.3233000000000001</v>
      </c>
      <c r="G164" s="91"/>
      <c r="H164" s="91"/>
    </row>
    <row r="165" spans="1:8" ht="14">
      <c r="A165" s="239"/>
      <c r="B165" s="273" t="s">
        <v>109</v>
      </c>
      <c r="C165" s="327">
        <v>3.5625</v>
      </c>
      <c r="D165" s="327" t="s">
        <v>181</v>
      </c>
      <c r="E165" s="327" t="s">
        <v>181</v>
      </c>
      <c r="F165" s="327">
        <v>3.3233000000000001</v>
      </c>
      <c r="G165" s="91"/>
      <c r="H165" s="91"/>
    </row>
    <row r="166" spans="1:8" ht="14">
      <c r="A166" s="239"/>
      <c r="B166" s="273" t="s">
        <v>110</v>
      </c>
      <c r="C166" s="327">
        <v>3.5625</v>
      </c>
      <c r="D166" s="327" t="s">
        <v>181</v>
      </c>
      <c r="E166" s="327" t="s">
        <v>181</v>
      </c>
      <c r="F166" s="327">
        <v>3.3025000000000002</v>
      </c>
      <c r="G166" s="91"/>
      <c r="H166" s="91"/>
    </row>
    <row r="167" spans="1:8" ht="14">
      <c r="A167" s="239"/>
      <c r="B167" s="273" t="s">
        <v>117</v>
      </c>
      <c r="C167" s="327">
        <v>3.3437999999999999</v>
      </c>
      <c r="D167" s="327" t="s">
        <v>181</v>
      </c>
      <c r="E167" s="327" t="s">
        <v>181</v>
      </c>
      <c r="F167" s="327">
        <v>3.3125</v>
      </c>
      <c r="G167" s="91"/>
      <c r="H167" s="91"/>
    </row>
    <row r="168" spans="1:8" ht="14">
      <c r="A168" s="239"/>
      <c r="B168" s="273" t="s">
        <v>112</v>
      </c>
      <c r="C168" s="327">
        <v>3.125</v>
      </c>
      <c r="D168" s="327" t="s">
        <v>181</v>
      </c>
      <c r="E168" s="327" t="s">
        <v>181</v>
      </c>
      <c r="F168" s="327">
        <v>3.3125</v>
      </c>
      <c r="G168" s="91"/>
      <c r="H168" s="91"/>
    </row>
    <row r="169" spans="1:8" ht="14">
      <c r="A169" s="239"/>
      <c r="B169" s="273" t="s">
        <v>113</v>
      </c>
      <c r="C169" s="327">
        <v>3.125</v>
      </c>
      <c r="D169" s="327" t="s">
        <v>181</v>
      </c>
      <c r="E169" s="327" t="s">
        <v>181</v>
      </c>
      <c r="F169" s="327">
        <v>3.0417000000000001</v>
      </c>
      <c r="G169" s="91"/>
      <c r="H169" s="91"/>
    </row>
    <row r="170" spans="1:8" ht="14">
      <c r="A170" s="239"/>
      <c r="B170" s="273" t="s">
        <v>114</v>
      </c>
      <c r="C170" s="327">
        <v>2.9687999999999999</v>
      </c>
      <c r="D170" s="327" t="s">
        <v>181</v>
      </c>
      <c r="E170" s="327" t="s">
        <v>181</v>
      </c>
      <c r="F170" s="327">
        <v>3.0417000000000001</v>
      </c>
      <c r="G170" s="91"/>
      <c r="H170" s="91"/>
    </row>
    <row r="171" spans="1:8" ht="14">
      <c r="A171" s="239"/>
      <c r="B171" s="273" t="s">
        <v>115</v>
      </c>
      <c r="C171" s="327">
        <v>2.8437999999999999</v>
      </c>
      <c r="D171" s="327" t="s">
        <v>181</v>
      </c>
      <c r="E171" s="327" t="s">
        <v>181</v>
      </c>
      <c r="F171" s="327">
        <v>3.0417000000000001</v>
      </c>
      <c r="G171" s="91"/>
      <c r="H171" s="91"/>
    </row>
    <row r="172" spans="1:8" ht="14">
      <c r="A172" s="240"/>
      <c r="B172" s="274" t="s">
        <v>116</v>
      </c>
      <c r="C172" s="329">
        <v>2.8437999999999999</v>
      </c>
      <c r="D172" s="329" t="s">
        <v>181</v>
      </c>
      <c r="E172" s="329" t="s">
        <v>181</v>
      </c>
      <c r="F172" s="329">
        <v>2.8437999999999999</v>
      </c>
      <c r="G172" s="91"/>
      <c r="H172" s="91"/>
    </row>
    <row r="173" spans="1:8" ht="14">
      <c r="A173" s="238">
        <v>2025</v>
      </c>
      <c r="B173" s="272" t="s">
        <v>105</v>
      </c>
      <c r="C173" s="332">
        <v>2.7812999999999999</v>
      </c>
      <c r="D173" s="332" t="s">
        <v>181</v>
      </c>
      <c r="E173" s="332" t="s">
        <v>181</v>
      </c>
      <c r="F173" s="332">
        <v>2.8437999999999999</v>
      </c>
      <c r="G173" s="91"/>
      <c r="H173" s="91"/>
    </row>
    <row r="174" spans="1:8" ht="14">
      <c r="A174" s="239"/>
      <c r="B174" s="273" t="s">
        <v>106</v>
      </c>
      <c r="C174" s="327">
        <v>2.625</v>
      </c>
      <c r="D174" s="327" t="s">
        <v>181</v>
      </c>
      <c r="E174" s="327" t="s">
        <v>181</v>
      </c>
      <c r="F174" s="327">
        <v>2.8437999999999999</v>
      </c>
      <c r="G174" s="91"/>
      <c r="H174" s="91"/>
    </row>
    <row r="175" spans="1:8" ht="14">
      <c r="A175" s="239"/>
      <c r="B175" s="273" t="s">
        <v>107</v>
      </c>
      <c r="C175" s="327">
        <v>2.625</v>
      </c>
      <c r="D175" s="327" t="s">
        <v>181</v>
      </c>
      <c r="E175" s="327" t="s">
        <v>181</v>
      </c>
      <c r="F175" s="327">
        <v>2.5625</v>
      </c>
      <c r="G175" s="91"/>
      <c r="H175" s="91"/>
    </row>
    <row r="176" spans="1:8" ht="14">
      <c r="A176" s="239"/>
      <c r="B176" s="273" t="s">
        <v>108</v>
      </c>
      <c r="C176" s="327">
        <v>2.4062999999999999</v>
      </c>
      <c r="D176" s="327" t="s">
        <v>181</v>
      </c>
      <c r="E176" s="327" t="s">
        <v>181</v>
      </c>
      <c r="F176" s="327">
        <v>2.5625</v>
      </c>
      <c r="G176" s="91"/>
      <c r="H176" s="91"/>
    </row>
    <row r="177" spans="1:8" ht="14">
      <c r="A177" s="239"/>
      <c r="B177" s="273" t="s">
        <v>109</v>
      </c>
      <c r="C177" s="327">
        <v>2.1875</v>
      </c>
      <c r="D177" s="327" t="s">
        <v>181</v>
      </c>
      <c r="E177" s="327" t="s">
        <v>181</v>
      </c>
      <c r="F177" s="327">
        <v>2.5625</v>
      </c>
      <c r="G177" s="91"/>
      <c r="H177" s="91"/>
    </row>
    <row r="178" spans="1:8" ht="14">
      <c r="A178" s="239"/>
      <c r="B178" s="273" t="s">
        <v>110</v>
      </c>
      <c r="C178" s="327">
        <v>2.1875</v>
      </c>
      <c r="D178" s="327" t="s">
        <v>181</v>
      </c>
      <c r="E178" s="327" t="s">
        <v>181</v>
      </c>
      <c r="F178" s="327">
        <v>2.125</v>
      </c>
      <c r="G178" s="91"/>
      <c r="H178" s="91"/>
    </row>
    <row r="179" spans="1:8" ht="14">
      <c r="A179" s="239"/>
      <c r="B179" s="273" t="s">
        <v>117</v>
      </c>
      <c r="C179" s="327">
        <v>1.7813000000000001</v>
      </c>
      <c r="D179" s="327" t="s">
        <v>181</v>
      </c>
      <c r="E179" s="327" t="s">
        <v>181</v>
      </c>
      <c r="F179" s="327">
        <v>2.125</v>
      </c>
      <c r="G179" s="91"/>
      <c r="H179" s="91"/>
    </row>
    <row r="180" spans="1:8" ht="14">
      <c r="A180" s="239"/>
      <c r="B180" s="273" t="s">
        <v>112</v>
      </c>
      <c r="C180" s="327">
        <v>1.4688000000000001</v>
      </c>
      <c r="D180" s="327" t="s">
        <v>181</v>
      </c>
      <c r="E180" s="327" t="s">
        <v>181</v>
      </c>
      <c r="F180" s="327">
        <v>2.125</v>
      </c>
      <c r="G180" s="91"/>
      <c r="H180" s="91"/>
    </row>
    <row r="181" spans="1:8" ht="14">
      <c r="A181" s="239"/>
      <c r="B181" s="273" t="s">
        <v>113</v>
      </c>
      <c r="C181" s="327">
        <v>1.4688000000000001</v>
      </c>
      <c r="D181" s="327" t="s">
        <v>181</v>
      </c>
      <c r="E181" s="327" t="s">
        <v>181</v>
      </c>
      <c r="F181" s="327">
        <v>1.8438000000000001</v>
      </c>
      <c r="G181" s="91"/>
      <c r="H181" s="91"/>
    </row>
    <row r="182" spans="1:8" ht="14">
      <c r="A182" s="239"/>
      <c r="B182" s="273" t="s">
        <v>114</v>
      </c>
      <c r="C182" s="327">
        <v>1.2813000000000001</v>
      </c>
      <c r="D182" s="327" t="s">
        <v>181</v>
      </c>
      <c r="E182" s="327" t="s">
        <v>181</v>
      </c>
      <c r="F182" s="327">
        <v>1.8438000000000001</v>
      </c>
      <c r="G182" s="91"/>
      <c r="H182" s="91"/>
    </row>
    <row r="183" spans="1:8" ht="14">
      <c r="A183" s="239"/>
      <c r="B183" s="273" t="s">
        <v>115</v>
      </c>
      <c r="C183" s="327">
        <v>1.125</v>
      </c>
      <c r="D183" s="327" t="s">
        <v>181</v>
      </c>
      <c r="E183" s="327" t="s">
        <v>181</v>
      </c>
      <c r="F183" s="327">
        <v>1.8438000000000001</v>
      </c>
      <c r="G183" s="91"/>
      <c r="H183" s="91"/>
    </row>
    <row r="184" spans="1:8" ht="14">
      <c r="A184" s="240"/>
      <c r="B184" s="274" t="s">
        <v>116</v>
      </c>
      <c r="C184" s="329">
        <v>1.125</v>
      </c>
      <c r="D184" s="329" t="s">
        <v>181</v>
      </c>
      <c r="E184" s="329" t="s">
        <v>181</v>
      </c>
      <c r="F184" s="329">
        <v>1.5468999999999999</v>
      </c>
      <c r="G184" s="91"/>
      <c r="H184" s="91"/>
    </row>
    <row r="185" spans="1:8" ht="14">
      <c r="A185" s="238">
        <v>2026</v>
      </c>
      <c r="B185" s="272" t="s">
        <v>105</v>
      </c>
      <c r="C185" s="332">
        <v>1.1875</v>
      </c>
      <c r="D185" s="332" t="s">
        <v>181</v>
      </c>
      <c r="E185" s="332" t="s">
        <v>181</v>
      </c>
      <c r="F185" s="332">
        <v>1.5468999999999999</v>
      </c>
      <c r="G185" s="91"/>
      <c r="H185" s="91"/>
    </row>
    <row r="186" spans="1:8" ht="14">
      <c r="A186" s="239"/>
      <c r="B186" s="273" t="s">
        <v>106</v>
      </c>
      <c r="C186" s="327" t="s">
        <v>181</v>
      </c>
      <c r="D186" s="327">
        <v>1.0625</v>
      </c>
      <c r="E186" s="327" t="s">
        <v>181</v>
      </c>
      <c r="F186" s="327">
        <v>1.5468999999999999</v>
      </c>
      <c r="G186" s="91"/>
      <c r="H186" s="91"/>
    </row>
    <row r="187" spans="1:8" ht="14">
      <c r="A187" s="239"/>
      <c r="B187" s="273" t="s">
        <v>107</v>
      </c>
      <c r="C187" s="327" t="s">
        <v>181</v>
      </c>
      <c r="D187" s="327">
        <v>1.0625</v>
      </c>
      <c r="E187" s="327" t="s">
        <v>181</v>
      </c>
      <c r="F187" s="327">
        <v>1.25</v>
      </c>
      <c r="G187" s="91"/>
      <c r="H187" s="91"/>
    </row>
    <row r="188" spans="1:8" ht="14">
      <c r="A188" s="239"/>
      <c r="B188" s="273" t="s">
        <v>108</v>
      </c>
      <c r="C188" s="327">
        <v>1.25</v>
      </c>
      <c r="D188" s="327">
        <v>1.0625</v>
      </c>
      <c r="E188" s="327" t="s">
        <v>181</v>
      </c>
      <c r="F188" s="327">
        <v>1.25</v>
      </c>
      <c r="G188" s="91"/>
      <c r="H188" s="91"/>
    </row>
    <row r="189" spans="1:8" ht="14">
      <c r="A189" s="240"/>
      <c r="B189" s="274" t="s">
        <v>109</v>
      </c>
      <c r="C189" s="329">
        <v>1.25</v>
      </c>
      <c r="D189" s="329">
        <v>1.0938000000000001</v>
      </c>
      <c r="E189" s="329" t="s">
        <v>181</v>
      </c>
      <c r="F189" s="329">
        <v>1.25</v>
      </c>
      <c r="G189" s="91"/>
      <c r="H189" s="91"/>
    </row>
    <row r="191" spans="1:8">
      <c r="A191" s="171" t="s">
        <v>118</v>
      </c>
    </row>
    <row r="192" spans="1:8">
      <c r="A192" s="168" t="s">
        <v>168</v>
      </c>
    </row>
  </sheetData>
  <sheetProtection sheet="1" formatCells="0" insertColumns="0" insertRows="0" deleteColumns="0" deleteRows="0"/>
  <mergeCells count="4">
    <mergeCell ref="A2:F2"/>
    <mergeCell ref="A3:B4"/>
    <mergeCell ref="C3:F3"/>
    <mergeCell ref="A1:F1"/>
  </mergeCells>
  <printOptions horizontalCentered="1"/>
  <pageMargins left="0.21" right="0.2" top="1.06"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96"/>
  <sheetViews>
    <sheetView zoomScaleNormal="100" workbookViewId="0">
      <pane xSplit="2" ySplit="4" topLeftCell="C180" activePane="bottomRight" state="frozen"/>
      <selection pane="topRight" activeCell="G153" sqref="G153"/>
      <selection pane="bottomLeft" activeCell="G153" sqref="G153"/>
      <selection pane="bottomRight" activeCell="D187" sqref="D187"/>
    </sheetView>
  </sheetViews>
  <sheetFormatPr defaultColWidth="9.1796875" defaultRowHeight="13"/>
  <cols>
    <col min="1" max="1" width="7.6328125" style="65" customWidth="1"/>
    <col min="2" max="2" width="7.81640625" style="65" customWidth="1"/>
    <col min="3" max="11" width="13.08984375" style="65" customWidth="1"/>
    <col min="12" max="16384" width="9.1796875" style="65"/>
  </cols>
  <sheetData>
    <row r="1" spans="1:11" ht="15.5">
      <c r="A1" s="709" t="s">
        <v>187</v>
      </c>
      <c r="B1" s="709"/>
      <c r="C1" s="709"/>
      <c r="D1" s="709"/>
      <c r="E1" s="709"/>
      <c r="F1" s="709"/>
      <c r="G1" s="709"/>
      <c r="H1" s="709"/>
      <c r="I1" s="709"/>
    </row>
    <row r="2" spans="1:11" ht="14">
      <c r="A2" s="768" t="s">
        <v>97</v>
      </c>
      <c r="B2" s="768"/>
      <c r="C2" s="768"/>
      <c r="D2" s="768"/>
      <c r="E2" s="768"/>
      <c r="F2" s="768"/>
      <c r="G2" s="768"/>
      <c r="H2" s="768"/>
      <c r="I2" s="768"/>
      <c r="J2" s="768"/>
      <c r="K2" s="768"/>
    </row>
    <row r="3" spans="1:11" s="106" customFormat="1" ht="30" customHeight="1">
      <c r="A3" s="761" t="s">
        <v>98</v>
      </c>
      <c r="B3" s="761"/>
      <c r="C3" s="759" t="s">
        <v>163</v>
      </c>
      <c r="D3" s="759" t="s">
        <v>188</v>
      </c>
      <c r="E3" s="759" t="s">
        <v>189</v>
      </c>
      <c r="F3" s="723" t="s">
        <v>190</v>
      </c>
      <c r="G3" s="724"/>
      <c r="H3" s="725"/>
      <c r="I3" s="769" t="s">
        <v>191</v>
      </c>
      <c r="J3" s="759" t="s">
        <v>192</v>
      </c>
      <c r="K3" s="759" t="s">
        <v>166</v>
      </c>
    </row>
    <row r="4" spans="1:11" s="106" customFormat="1" ht="61.5" customHeight="1">
      <c r="A4" s="761"/>
      <c r="B4" s="761"/>
      <c r="C4" s="759"/>
      <c r="D4" s="759"/>
      <c r="E4" s="759"/>
      <c r="F4" s="282" t="s">
        <v>102</v>
      </c>
      <c r="G4" s="280" t="s">
        <v>193</v>
      </c>
      <c r="H4" s="280" t="s">
        <v>194</v>
      </c>
      <c r="I4" s="770"/>
      <c r="J4" s="759"/>
      <c r="K4" s="759"/>
    </row>
    <row r="5" spans="1:11" s="105" customFormat="1" ht="14">
      <c r="A5" s="238">
        <v>2011</v>
      </c>
      <c r="B5" s="272" t="s">
        <v>105</v>
      </c>
      <c r="C5" s="344">
        <f>D5+E5+F5+I5+J5+K5</f>
        <v>16393.849999999999</v>
      </c>
      <c r="D5" s="345">
        <v>167.62</v>
      </c>
      <c r="E5" s="346">
        <v>631.23</v>
      </c>
      <c r="F5" s="347">
        <f>G5+H5</f>
        <v>8751.84</v>
      </c>
      <c r="G5" s="346">
        <v>972.85</v>
      </c>
      <c r="H5" s="348">
        <v>7778.99</v>
      </c>
      <c r="I5" s="346">
        <v>4837.79</v>
      </c>
      <c r="J5" s="346">
        <v>1801.34</v>
      </c>
      <c r="K5" s="349">
        <v>204.03</v>
      </c>
    </row>
    <row r="6" spans="1:11" s="105" customFormat="1" ht="14">
      <c r="A6" s="239"/>
      <c r="B6" s="273" t="s">
        <v>106</v>
      </c>
      <c r="C6" s="350">
        <f>D6+E6+F6+I6+J6+K6</f>
        <v>16117.659999999998</v>
      </c>
      <c r="D6" s="351">
        <v>181.03</v>
      </c>
      <c r="E6" s="352">
        <v>670.01</v>
      </c>
      <c r="F6" s="353">
        <f>G6+H6</f>
        <v>8469.35</v>
      </c>
      <c r="G6" s="352">
        <v>1045.5899999999999</v>
      </c>
      <c r="H6" s="354">
        <v>7423.76</v>
      </c>
      <c r="I6" s="352">
        <v>4840.1400000000003</v>
      </c>
      <c r="J6" s="352">
        <v>1767.22</v>
      </c>
      <c r="K6" s="355">
        <v>189.91</v>
      </c>
    </row>
    <row r="7" spans="1:11" s="105" customFormat="1" ht="14">
      <c r="A7" s="239"/>
      <c r="B7" s="273" t="s">
        <v>107</v>
      </c>
      <c r="C7" s="350">
        <f t="shared" ref="C7:C70" si="0">D7+E7+F7+I7+J7+K7</f>
        <v>17905.71</v>
      </c>
      <c r="D7" s="351">
        <v>159.33000000000001</v>
      </c>
      <c r="E7" s="352">
        <v>671.55</v>
      </c>
      <c r="F7" s="353">
        <f t="shared" ref="F7:F70" si="1">G7+H7</f>
        <v>10478.66</v>
      </c>
      <c r="G7" s="352">
        <v>1084.5</v>
      </c>
      <c r="H7" s="354">
        <v>9394.16</v>
      </c>
      <c r="I7" s="352">
        <v>4789.13</v>
      </c>
      <c r="J7" s="352">
        <v>1615.38</v>
      </c>
      <c r="K7" s="355">
        <v>191.66</v>
      </c>
    </row>
    <row r="8" spans="1:11" s="105" customFormat="1" ht="14">
      <c r="A8" s="239"/>
      <c r="B8" s="273" t="s">
        <v>108</v>
      </c>
      <c r="C8" s="350">
        <f t="shared" si="0"/>
        <v>17582.82</v>
      </c>
      <c r="D8" s="351">
        <v>156.12</v>
      </c>
      <c r="E8" s="352">
        <v>663.31</v>
      </c>
      <c r="F8" s="353">
        <f t="shared" si="1"/>
        <v>10048.51</v>
      </c>
      <c r="G8" s="352">
        <v>1030.98</v>
      </c>
      <c r="H8" s="354">
        <v>9017.5300000000007</v>
      </c>
      <c r="I8" s="352">
        <v>4799.1000000000004</v>
      </c>
      <c r="J8" s="352">
        <v>1718.3</v>
      </c>
      <c r="K8" s="355">
        <v>197.48</v>
      </c>
    </row>
    <row r="9" spans="1:11" s="105" customFormat="1" ht="14">
      <c r="A9" s="239"/>
      <c r="B9" s="273" t="s">
        <v>109</v>
      </c>
      <c r="C9" s="350">
        <f t="shared" si="0"/>
        <v>17092.149999999998</v>
      </c>
      <c r="D9" s="351">
        <v>161.61000000000001</v>
      </c>
      <c r="E9" s="352">
        <v>735.19</v>
      </c>
      <c r="F9" s="353">
        <f t="shared" si="1"/>
        <v>9284.16</v>
      </c>
      <c r="G9" s="352">
        <v>1138.21</v>
      </c>
      <c r="H9" s="354">
        <v>8145.95</v>
      </c>
      <c r="I9" s="352">
        <v>4788.05</v>
      </c>
      <c r="J9" s="352">
        <v>1948.71</v>
      </c>
      <c r="K9" s="355">
        <v>174.43</v>
      </c>
    </row>
    <row r="10" spans="1:11" s="105" customFormat="1" ht="14">
      <c r="A10" s="239"/>
      <c r="B10" s="273" t="s">
        <v>110</v>
      </c>
      <c r="C10" s="350">
        <f t="shared" si="0"/>
        <v>18521.96</v>
      </c>
      <c r="D10" s="351">
        <v>158.96</v>
      </c>
      <c r="E10" s="352">
        <v>738.49</v>
      </c>
      <c r="F10" s="353">
        <f t="shared" si="1"/>
        <v>11104.89</v>
      </c>
      <c r="G10" s="352">
        <v>1341.72</v>
      </c>
      <c r="H10" s="354">
        <v>9763.17</v>
      </c>
      <c r="I10" s="352">
        <v>4376.91</v>
      </c>
      <c r="J10" s="352">
        <v>1963.53</v>
      </c>
      <c r="K10" s="355">
        <v>179.18</v>
      </c>
    </row>
    <row r="11" spans="1:11" s="105" customFormat="1" ht="14">
      <c r="A11" s="239"/>
      <c r="B11" s="273" t="s">
        <v>111</v>
      </c>
      <c r="C11" s="350">
        <f t="shared" si="0"/>
        <v>17810.330000000002</v>
      </c>
      <c r="D11" s="351">
        <v>169.79</v>
      </c>
      <c r="E11" s="352">
        <v>730.16</v>
      </c>
      <c r="F11" s="353">
        <f t="shared" si="1"/>
        <v>10441.52</v>
      </c>
      <c r="G11" s="352">
        <v>1018.65</v>
      </c>
      <c r="H11" s="354">
        <v>9422.8700000000008</v>
      </c>
      <c r="I11" s="352">
        <v>4411.8100000000004</v>
      </c>
      <c r="J11" s="352">
        <v>1862.48</v>
      </c>
      <c r="K11" s="355">
        <v>194.57</v>
      </c>
    </row>
    <row r="12" spans="1:11" s="105" customFormat="1" ht="14">
      <c r="A12" s="239"/>
      <c r="B12" s="273" t="s">
        <v>112</v>
      </c>
      <c r="C12" s="350">
        <f t="shared" si="0"/>
        <v>17879.840000000004</v>
      </c>
      <c r="D12" s="351">
        <v>174.34</v>
      </c>
      <c r="E12" s="352">
        <v>806.69</v>
      </c>
      <c r="F12" s="353">
        <f t="shared" si="1"/>
        <v>10410.490000000002</v>
      </c>
      <c r="G12" s="352">
        <v>1079.3800000000001</v>
      </c>
      <c r="H12" s="354">
        <v>9331.11</v>
      </c>
      <c r="I12" s="352">
        <v>4460</v>
      </c>
      <c r="J12" s="352">
        <v>1815.25</v>
      </c>
      <c r="K12" s="355">
        <v>213.07</v>
      </c>
    </row>
    <row r="13" spans="1:11" s="105" customFormat="1" ht="14">
      <c r="A13" s="239"/>
      <c r="B13" s="273" t="s">
        <v>113</v>
      </c>
      <c r="C13" s="350">
        <f t="shared" si="0"/>
        <v>19624.070000000003</v>
      </c>
      <c r="D13" s="351">
        <v>157.47999999999999</v>
      </c>
      <c r="E13" s="352">
        <v>825.81</v>
      </c>
      <c r="F13" s="353">
        <f t="shared" si="1"/>
        <v>11883.44</v>
      </c>
      <c r="G13" s="352">
        <v>897.82</v>
      </c>
      <c r="H13" s="354">
        <v>10985.62</v>
      </c>
      <c r="I13" s="352">
        <v>4492.1099999999997</v>
      </c>
      <c r="J13" s="352">
        <v>2057.9</v>
      </c>
      <c r="K13" s="355">
        <v>207.33</v>
      </c>
    </row>
    <row r="14" spans="1:11" s="105" customFormat="1" ht="14">
      <c r="A14" s="239"/>
      <c r="B14" s="273" t="s">
        <v>114</v>
      </c>
      <c r="C14" s="350">
        <f t="shared" si="0"/>
        <v>19821.339999999997</v>
      </c>
      <c r="D14" s="351">
        <v>240.95</v>
      </c>
      <c r="E14" s="352">
        <v>803.18</v>
      </c>
      <c r="F14" s="353">
        <f t="shared" si="1"/>
        <v>11899.349999999999</v>
      </c>
      <c r="G14" s="352">
        <v>1034.46</v>
      </c>
      <c r="H14" s="354">
        <v>10864.89</v>
      </c>
      <c r="I14" s="352">
        <v>4517.29</v>
      </c>
      <c r="J14" s="352">
        <v>2139.59</v>
      </c>
      <c r="K14" s="355">
        <v>220.98</v>
      </c>
    </row>
    <row r="15" spans="1:11" s="105" customFormat="1" ht="14">
      <c r="A15" s="239"/>
      <c r="B15" s="273" t="s">
        <v>115</v>
      </c>
      <c r="C15" s="350">
        <f t="shared" si="0"/>
        <v>19223.829999999998</v>
      </c>
      <c r="D15" s="351">
        <v>236.78</v>
      </c>
      <c r="E15" s="352">
        <v>871.65</v>
      </c>
      <c r="F15" s="353">
        <f t="shared" si="1"/>
        <v>11010.14</v>
      </c>
      <c r="G15" s="352">
        <v>902.56</v>
      </c>
      <c r="H15" s="354">
        <v>10107.58</v>
      </c>
      <c r="I15" s="352">
        <v>4553.96</v>
      </c>
      <c r="J15" s="352">
        <v>2334.6</v>
      </c>
      <c r="K15" s="355">
        <v>216.7</v>
      </c>
    </row>
    <row r="16" spans="1:11" s="105" customFormat="1" ht="14">
      <c r="A16" s="240"/>
      <c r="B16" s="274" t="s">
        <v>116</v>
      </c>
      <c r="C16" s="356">
        <f t="shared" si="0"/>
        <v>21166.84</v>
      </c>
      <c r="D16" s="357">
        <v>864.42</v>
      </c>
      <c r="E16" s="358">
        <v>900.87</v>
      </c>
      <c r="F16" s="359">
        <f t="shared" si="1"/>
        <v>12115.96</v>
      </c>
      <c r="G16" s="358">
        <v>1013.64</v>
      </c>
      <c r="H16" s="360">
        <v>11102.32</v>
      </c>
      <c r="I16" s="358">
        <v>4760.71</v>
      </c>
      <c r="J16" s="358">
        <v>2251.56</v>
      </c>
      <c r="K16" s="361">
        <v>273.32</v>
      </c>
    </row>
    <row r="17" spans="1:11" s="105" customFormat="1" ht="14">
      <c r="A17" s="239">
        <v>2012</v>
      </c>
      <c r="B17" s="273" t="s">
        <v>105</v>
      </c>
      <c r="C17" s="350">
        <f t="shared" si="0"/>
        <v>19690.369999999995</v>
      </c>
      <c r="D17" s="362">
        <v>185.51</v>
      </c>
      <c r="E17" s="363">
        <v>889.04</v>
      </c>
      <c r="F17" s="353">
        <f t="shared" si="1"/>
        <v>11443.779999999999</v>
      </c>
      <c r="G17" s="363">
        <v>822.23</v>
      </c>
      <c r="H17" s="353">
        <v>10621.55</v>
      </c>
      <c r="I17" s="363">
        <v>4679.87</v>
      </c>
      <c r="J17" s="363">
        <v>2272.96</v>
      </c>
      <c r="K17" s="364">
        <v>219.21</v>
      </c>
    </row>
    <row r="18" spans="1:11" s="105" customFormat="1" ht="14">
      <c r="A18" s="239"/>
      <c r="B18" s="273" t="s">
        <v>106</v>
      </c>
      <c r="C18" s="350">
        <f t="shared" si="0"/>
        <v>18709.530000000002</v>
      </c>
      <c r="D18" s="362">
        <v>325.58</v>
      </c>
      <c r="E18" s="363">
        <v>890.44</v>
      </c>
      <c r="F18" s="353">
        <f t="shared" si="1"/>
        <v>10542.8</v>
      </c>
      <c r="G18" s="363">
        <v>819.99</v>
      </c>
      <c r="H18" s="353">
        <v>9722.81</v>
      </c>
      <c r="I18" s="363">
        <v>4655.79</v>
      </c>
      <c r="J18" s="363">
        <v>2092.2199999999998</v>
      </c>
      <c r="K18" s="364">
        <v>202.7</v>
      </c>
    </row>
    <row r="19" spans="1:11" s="105" customFormat="1" ht="14">
      <c r="A19" s="239"/>
      <c r="B19" s="273" t="s">
        <v>107</v>
      </c>
      <c r="C19" s="350">
        <f t="shared" si="0"/>
        <v>20724.830000000002</v>
      </c>
      <c r="D19" s="362">
        <v>445.43</v>
      </c>
      <c r="E19" s="363">
        <v>986.35</v>
      </c>
      <c r="F19" s="353">
        <f t="shared" si="1"/>
        <v>12465.84</v>
      </c>
      <c r="G19" s="363">
        <v>1143.69</v>
      </c>
      <c r="H19" s="353">
        <v>11322.15</v>
      </c>
      <c r="I19" s="363">
        <v>4583.6400000000003</v>
      </c>
      <c r="J19" s="363">
        <v>2037.04</v>
      </c>
      <c r="K19" s="364">
        <v>206.53</v>
      </c>
    </row>
    <row r="20" spans="1:11" s="105" customFormat="1" ht="14">
      <c r="A20" s="239"/>
      <c r="B20" s="273" t="s">
        <v>108</v>
      </c>
      <c r="C20" s="350">
        <f t="shared" si="0"/>
        <v>18912.32</v>
      </c>
      <c r="D20" s="351">
        <v>1562.56</v>
      </c>
      <c r="E20" s="352">
        <v>859.33</v>
      </c>
      <c r="F20" s="353">
        <f t="shared" si="1"/>
        <v>9434.26</v>
      </c>
      <c r="G20" s="352">
        <v>1035.42</v>
      </c>
      <c r="H20" s="354">
        <v>8398.84</v>
      </c>
      <c r="I20" s="352">
        <v>4645.83</v>
      </c>
      <c r="J20" s="352">
        <v>2203.84</v>
      </c>
      <c r="K20" s="355">
        <v>206.5</v>
      </c>
    </row>
    <row r="21" spans="1:11" s="105" customFormat="1" ht="14">
      <c r="A21" s="239"/>
      <c r="B21" s="273" t="s">
        <v>109</v>
      </c>
      <c r="C21" s="350">
        <f t="shared" si="0"/>
        <v>18105.099999999999</v>
      </c>
      <c r="D21" s="351">
        <v>1222.07</v>
      </c>
      <c r="E21" s="352">
        <v>860.07</v>
      </c>
      <c r="F21" s="353">
        <f t="shared" si="1"/>
        <v>8855.5</v>
      </c>
      <c r="G21" s="352">
        <v>811.28</v>
      </c>
      <c r="H21" s="354">
        <v>8044.22</v>
      </c>
      <c r="I21" s="352">
        <v>4752.75</v>
      </c>
      <c r="J21" s="352">
        <v>2205.8200000000002</v>
      </c>
      <c r="K21" s="355">
        <v>208.89</v>
      </c>
    </row>
    <row r="22" spans="1:11" s="105" customFormat="1" ht="14">
      <c r="A22" s="239"/>
      <c r="B22" s="273" t="s">
        <v>110</v>
      </c>
      <c r="C22" s="350">
        <f t="shared" si="0"/>
        <v>20104.779999999995</v>
      </c>
      <c r="D22" s="351">
        <v>1241.8499999999999</v>
      </c>
      <c r="E22" s="352">
        <v>915.12</v>
      </c>
      <c r="F22" s="353">
        <f t="shared" si="1"/>
        <v>10878.939999999999</v>
      </c>
      <c r="G22" s="352">
        <v>1215.97</v>
      </c>
      <c r="H22" s="354">
        <v>9662.9699999999993</v>
      </c>
      <c r="I22" s="352">
        <v>4692.63</v>
      </c>
      <c r="J22" s="352">
        <v>2172.58</v>
      </c>
      <c r="K22" s="355">
        <v>203.66</v>
      </c>
    </row>
    <row r="23" spans="1:11" s="105" customFormat="1" ht="14">
      <c r="A23" s="239"/>
      <c r="B23" s="273" t="s">
        <v>111</v>
      </c>
      <c r="C23" s="350">
        <f t="shared" si="0"/>
        <v>19101.109999999997</v>
      </c>
      <c r="D23" s="362">
        <v>1215.26</v>
      </c>
      <c r="E23" s="363">
        <v>815.58</v>
      </c>
      <c r="F23" s="353">
        <f t="shared" si="1"/>
        <v>10141.33</v>
      </c>
      <c r="G23" s="363">
        <v>1073.19</v>
      </c>
      <c r="H23" s="353">
        <v>9068.14</v>
      </c>
      <c r="I23" s="363">
        <v>4717.32</v>
      </c>
      <c r="J23" s="363">
        <v>2003.75</v>
      </c>
      <c r="K23" s="364">
        <v>207.87</v>
      </c>
    </row>
    <row r="24" spans="1:11" s="105" customFormat="1" ht="14">
      <c r="A24" s="239"/>
      <c r="B24" s="273" t="s">
        <v>112</v>
      </c>
      <c r="C24" s="350">
        <f t="shared" si="0"/>
        <v>18331.88</v>
      </c>
      <c r="D24" s="362">
        <v>766.62</v>
      </c>
      <c r="E24" s="363">
        <v>1067.22</v>
      </c>
      <c r="F24" s="353">
        <f t="shared" si="1"/>
        <v>9666.0600000000013</v>
      </c>
      <c r="G24" s="363">
        <v>1342.04</v>
      </c>
      <c r="H24" s="353">
        <v>8324.02</v>
      </c>
      <c r="I24" s="363">
        <v>4737.66</v>
      </c>
      <c r="J24" s="363">
        <v>1883.45</v>
      </c>
      <c r="K24" s="364">
        <v>210.87</v>
      </c>
    </row>
    <row r="25" spans="1:11" s="105" customFormat="1" ht="14">
      <c r="A25" s="239"/>
      <c r="B25" s="273" t="s">
        <v>113</v>
      </c>
      <c r="C25" s="350">
        <f t="shared" si="0"/>
        <v>20404.809999999998</v>
      </c>
      <c r="D25" s="362">
        <v>668.5</v>
      </c>
      <c r="E25" s="363">
        <v>975.62</v>
      </c>
      <c r="F25" s="353">
        <f t="shared" si="1"/>
        <v>11856.95</v>
      </c>
      <c r="G25" s="363">
        <v>1486.52</v>
      </c>
      <c r="H25" s="353">
        <v>10370.43</v>
      </c>
      <c r="I25" s="363">
        <v>4861.8500000000004</v>
      </c>
      <c r="J25" s="363">
        <v>1820.42</v>
      </c>
      <c r="K25" s="364">
        <v>221.47</v>
      </c>
    </row>
    <row r="26" spans="1:11" s="105" customFormat="1" ht="14">
      <c r="A26" s="239"/>
      <c r="B26" s="273" t="s">
        <v>114</v>
      </c>
      <c r="C26" s="350">
        <f t="shared" si="0"/>
        <v>19553.330000000002</v>
      </c>
      <c r="D26" s="362">
        <v>668.19</v>
      </c>
      <c r="E26" s="363">
        <v>1451.65</v>
      </c>
      <c r="F26" s="353">
        <f t="shared" si="1"/>
        <v>10468.39</v>
      </c>
      <c r="G26" s="363">
        <v>825.9</v>
      </c>
      <c r="H26" s="353">
        <v>9642.49</v>
      </c>
      <c r="I26" s="363">
        <v>4788.4799999999996</v>
      </c>
      <c r="J26" s="363">
        <v>1957.79</v>
      </c>
      <c r="K26" s="364">
        <v>218.83</v>
      </c>
    </row>
    <row r="27" spans="1:11" s="105" customFormat="1" ht="14">
      <c r="A27" s="239"/>
      <c r="B27" s="273" t="s">
        <v>115</v>
      </c>
      <c r="C27" s="350">
        <f t="shared" si="0"/>
        <v>18706.669999999998</v>
      </c>
      <c r="D27" s="362">
        <v>650.55999999999995</v>
      </c>
      <c r="E27" s="363">
        <v>1073.78</v>
      </c>
      <c r="F27" s="353">
        <f t="shared" si="1"/>
        <v>9953.4699999999993</v>
      </c>
      <c r="G27" s="363">
        <v>891.81</v>
      </c>
      <c r="H27" s="353">
        <v>9061.66</v>
      </c>
      <c r="I27" s="363">
        <v>4798.67</v>
      </c>
      <c r="J27" s="363">
        <v>2003.48</v>
      </c>
      <c r="K27" s="355">
        <v>226.71</v>
      </c>
    </row>
    <row r="28" spans="1:11" s="105" customFormat="1" ht="14">
      <c r="A28" s="239"/>
      <c r="B28" s="273" t="s">
        <v>116</v>
      </c>
      <c r="C28" s="356">
        <f t="shared" si="0"/>
        <v>19685.280000000002</v>
      </c>
      <c r="D28" s="351">
        <v>712.07</v>
      </c>
      <c r="E28" s="352">
        <v>1165.18</v>
      </c>
      <c r="F28" s="359">
        <f t="shared" si="1"/>
        <v>10785.09</v>
      </c>
      <c r="G28" s="363">
        <v>1055.98</v>
      </c>
      <c r="H28" s="354">
        <v>9729.11</v>
      </c>
      <c r="I28" s="352">
        <v>4895.17</v>
      </c>
      <c r="J28" s="352">
        <v>1867.2</v>
      </c>
      <c r="K28" s="355">
        <v>260.57</v>
      </c>
    </row>
    <row r="29" spans="1:11" s="105" customFormat="1" ht="14">
      <c r="A29" s="238">
        <v>2013</v>
      </c>
      <c r="B29" s="272" t="s">
        <v>105</v>
      </c>
      <c r="C29" s="350">
        <f t="shared" si="0"/>
        <v>19220.600000000002</v>
      </c>
      <c r="D29" s="365">
        <v>735.38</v>
      </c>
      <c r="E29" s="366">
        <v>1493.81</v>
      </c>
      <c r="F29" s="353">
        <f t="shared" si="1"/>
        <v>10214.300000000001</v>
      </c>
      <c r="G29" s="366">
        <v>1084.3599999999999</v>
      </c>
      <c r="H29" s="347">
        <v>9129.94</v>
      </c>
      <c r="I29" s="366">
        <v>4871.66</v>
      </c>
      <c r="J29" s="366">
        <v>1685.66</v>
      </c>
      <c r="K29" s="367">
        <v>219.79</v>
      </c>
    </row>
    <row r="30" spans="1:11" s="105" customFormat="1" ht="14">
      <c r="A30" s="239"/>
      <c r="B30" s="273" t="s">
        <v>106</v>
      </c>
      <c r="C30" s="350">
        <f t="shared" si="0"/>
        <v>19112.600000000002</v>
      </c>
      <c r="D30" s="362">
        <v>189.8</v>
      </c>
      <c r="E30" s="363">
        <v>1769.44</v>
      </c>
      <c r="F30" s="353">
        <f t="shared" si="1"/>
        <v>10292.86</v>
      </c>
      <c r="G30" s="363">
        <v>1190.92</v>
      </c>
      <c r="H30" s="353">
        <v>9101.94</v>
      </c>
      <c r="I30" s="363">
        <v>4879.34</v>
      </c>
      <c r="J30" s="363">
        <v>1745.77</v>
      </c>
      <c r="K30" s="364">
        <v>235.39</v>
      </c>
    </row>
    <row r="31" spans="1:11" s="105" customFormat="1" ht="14">
      <c r="A31" s="239"/>
      <c r="B31" s="273" t="s">
        <v>107</v>
      </c>
      <c r="C31" s="350">
        <f t="shared" si="0"/>
        <v>20452.61</v>
      </c>
      <c r="D31" s="362">
        <v>186.47</v>
      </c>
      <c r="E31" s="363">
        <v>1827.76</v>
      </c>
      <c r="F31" s="353">
        <f t="shared" si="1"/>
        <v>11537.37</v>
      </c>
      <c r="G31" s="363">
        <v>1387.77</v>
      </c>
      <c r="H31" s="353">
        <v>10149.6</v>
      </c>
      <c r="I31" s="363">
        <v>4873.03</v>
      </c>
      <c r="J31" s="363">
        <v>1810.34</v>
      </c>
      <c r="K31" s="364">
        <v>217.64</v>
      </c>
    </row>
    <row r="32" spans="1:11" s="105" customFormat="1" ht="14">
      <c r="A32" s="239"/>
      <c r="B32" s="273" t="s">
        <v>108</v>
      </c>
      <c r="C32" s="350">
        <f t="shared" si="0"/>
        <v>18964.169999999998</v>
      </c>
      <c r="D32" s="362">
        <v>196.83</v>
      </c>
      <c r="E32" s="363">
        <v>1724.67</v>
      </c>
      <c r="F32" s="353">
        <f t="shared" si="1"/>
        <v>9825.9599999999991</v>
      </c>
      <c r="G32" s="363">
        <v>1218.6199999999999</v>
      </c>
      <c r="H32" s="353">
        <v>8607.34</v>
      </c>
      <c r="I32" s="363">
        <v>4950.04</v>
      </c>
      <c r="J32" s="363">
        <v>2047.05</v>
      </c>
      <c r="K32" s="364">
        <v>219.62</v>
      </c>
    </row>
    <row r="33" spans="1:11" s="105" customFormat="1" ht="14">
      <c r="A33" s="239"/>
      <c r="B33" s="273" t="s">
        <v>109</v>
      </c>
      <c r="C33" s="350">
        <f t="shared" si="0"/>
        <v>18276.599999999999</v>
      </c>
      <c r="D33" s="351">
        <v>196.78</v>
      </c>
      <c r="E33" s="352">
        <v>1718.31</v>
      </c>
      <c r="F33" s="353">
        <f t="shared" si="1"/>
        <v>9127.09</v>
      </c>
      <c r="G33" s="352">
        <v>1042.93</v>
      </c>
      <c r="H33" s="354">
        <v>8084.16</v>
      </c>
      <c r="I33" s="352">
        <v>4994.83</v>
      </c>
      <c r="J33" s="352">
        <v>2016.99</v>
      </c>
      <c r="K33" s="355">
        <v>222.6</v>
      </c>
    </row>
    <row r="34" spans="1:11" s="105" customFormat="1" ht="14">
      <c r="A34" s="239"/>
      <c r="B34" s="273" t="s">
        <v>110</v>
      </c>
      <c r="C34" s="350">
        <f t="shared" si="0"/>
        <v>20426.61</v>
      </c>
      <c r="D34" s="351">
        <v>179.07</v>
      </c>
      <c r="E34" s="352">
        <v>1729.01</v>
      </c>
      <c r="F34" s="353">
        <f t="shared" si="1"/>
        <v>11243.4</v>
      </c>
      <c r="G34" s="352">
        <v>1496.82</v>
      </c>
      <c r="H34" s="354">
        <v>9746.58</v>
      </c>
      <c r="I34" s="352">
        <v>5052.53</v>
      </c>
      <c r="J34" s="352">
        <v>2007.13</v>
      </c>
      <c r="K34" s="355">
        <v>215.47</v>
      </c>
    </row>
    <row r="35" spans="1:11" s="105" customFormat="1" ht="14">
      <c r="A35" s="239"/>
      <c r="B35" s="273" t="s">
        <v>117</v>
      </c>
      <c r="C35" s="350">
        <f t="shared" si="0"/>
        <v>19516.8</v>
      </c>
      <c r="D35" s="351">
        <v>203.73</v>
      </c>
      <c r="E35" s="352">
        <v>1615.79</v>
      </c>
      <c r="F35" s="353">
        <f t="shared" si="1"/>
        <v>10292.290000000001</v>
      </c>
      <c r="G35" s="352">
        <v>1241.01</v>
      </c>
      <c r="H35" s="354">
        <v>9051.2800000000007</v>
      </c>
      <c r="I35" s="352">
        <v>5139.08</v>
      </c>
      <c r="J35" s="352">
        <v>2056.4699999999998</v>
      </c>
      <c r="K35" s="355">
        <v>209.44</v>
      </c>
    </row>
    <row r="36" spans="1:11" s="105" customFormat="1" ht="14">
      <c r="A36" s="239"/>
      <c r="B36" s="273" t="s">
        <v>112</v>
      </c>
      <c r="C36" s="350">
        <f t="shared" si="0"/>
        <v>19260.84</v>
      </c>
      <c r="D36" s="351">
        <v>178.03</v>
      </c>
      <c r="E36" s="352">
        <v>1677.96</v>
      </c>
      <c r="F36" s="353">
        <f t="shared" si="1"/>
        <v>9971.3900000000012</v>
      </c>
      <c r="G36" s="352">
        <v>1249.77</v>
      </c>
      <c r="H36" s="354">
        <v>8721.6200000000008</v>
      </c>
      <c r="I36" s="352">
        <v>5188.82</v>
      </c>
      <c r="J36" s="352">
        <v>2035.93</v>
      </c>
      <c r="K36" s="355">
        <v>208.71</v>
      </c>
    </row>
    <row r="37" spans="1:11" s="105" customFormat="1" ht="14">
      <c r="A37" s="239"/>
      <c r="B37" s="273" t="s">
        <v>113</v>
      </c>
      <c r="C37" s="350">
        <f t="shared" si="0"/>
        <v>20048.669999999998</v>
      </c>
      <c r="D37" s="351">
        <v>200.93</v>
      </c>
      <c r="E37" s="352">
        <v>1743.27</v>
      </c>
      <c r="F37" s="353">
        <f t="shared" si="1"/>
        <v>10757.849999999999</v>
      </c>
      <c r="G37" s="352">
        <v>1261.22</v>
      </c>
      <c r="H37" s="354">
        <v>9496.6299999999992</v>
      </c>
      <c r="I37" s="352">
        <v>5177.6099999999997</v>
      </c>
      <c r="J37" s="352">
        <v>1961.33</v>
      </c>
      <c r="K37" s="355">
        <v>207.68</v>
      </c>
    </row>
    <row r="38" spans="1:11" s="105" customFormat="1" ht="14">
      <c r="A38" s="239"/>
      <c r="B38" s="273" t="s">
        <v>114</v>
      </c>
      <c r="C38" s="350">
        <f t="shared" si="0"/>
        <v>19368.870000000003</v>
      </c>
      <c r="D38" s="362">
        <v>186.79</v>
      </c>
      <c r="E38" s="352">
        <v>1740.73</v>
      </c>
      <c r="F38" s="353">
        <f t="shared" si="1"/>
        <v>10141.35</v>
      </c>
      <c r="G38" s="352">
        <v>1217.92</v>
      </c>
      <c r="H38" s="354">
        <v>8923.43</v>
      </c>
      <c r="I38" s="352">
        <v>5169.17</v>
      </c>
      <c r="J38" s="352">
        <v>1922.83</v>
      </c>
      <c r="K38" s="355">
        <v>208</v>
      </c>
    </row>
    <row r="39" spans="1:11" s="105" customFormat="1" ht="14">
      <c r="A39" s="239"/>
      <c r="B39" s="273" t="s">
        <v>115</v>
      </c>
      <c r="C39" s="350">
        <f t="shared" si="0"/>
        <v>18848.240000000002</v>
      </c>
      <c r="D39" s="362">
        <v>186.69</v>
      </c>
      <c r="E39" s="363">
        <v>1694.72</v>
      </c>
      <c r="F39" s="353">
        <f t="shared" si="1"/>
        <v>9532.48</v>
      </c>
      <c r="G39" s="363">
        <v>1283.43</v>
      </c>
      <c r="H39" s="353">
        <v>8249.0499999999993</v>
      </c>
      <c r="I39" s="363">
        <v>5198.91</v>
      </c>
      <c r="J39" s="363">
        <v>2035.92</v>
      </c>
      <c r="K39" s="364">
        <v>199.52</v>
      </c>
    </row>
    <row r="40" spans="1:11" s="105" customFormat="1" ht="14">
      <c r="A40" s="240"/>
      <c r="B40" s="274" t="s">
        <v>116</v>
      </c>
      <c r="C40" s="356">
        <f t="shared" si="0"/>
        <v>19348.650000000001</v>
      </c>
      <c r="D40" s="357">
        <v>250.92</v>
      </c>
      <c r="E40" s="358">
        <v>1645.03</v>
      </c>
      <c r="F40" s="359">
        <f t="shared" si="1"/>
        <v>9799.0299999999988</v>
      </c>
      <c r="G40" s="358">
        <v>1379.55</v>
      </c>
      <c r="H40" s="360">
        <v>8419.48</v>
      </c>
      <c r="I40" s="358">
        <v>5353.12</v>
      </c>
      <c r="J40" s="358">
        <v>2086.0100000000002</v>
      </c>
      <c r="K40" s="361">
        <v>214.54</v>
      </c>
    </row>
    <row r="41" spans="1:11" s="105" customFormat="1" ht="14">
      <c r="A41" s="238">
        <v>2014</v>
      </c>
      <c r="B41" s="272" t="s">
        <v>105</v>
      </c>
      <c r="C41" s="350">
        <f t="shared" si="0"/>
        <v>18289.46</v>
      </c>
      <c r="D41" s="365">
        <v>209.06</v>
      </c>
      <c r="E41" s="366">
        <v>1602.31</v>
      </c>
      <c r="F41" s="353">
        <f t="shared" si="1"/>
        <v>8718.49</v>
      </c>
      <c r="G41" s="366">
        <v>1173.8399999999999</v>
      </c>
      <c r="H41" s="347">
        <v>7544.65</v>
      </c>
      <c r="I41" s="366">
        <v>5261.74</v>
      </c>
      <c r="J41" s="347">
        <v>2284.33</v>
      </c>
      <c r="K41" s="366">
        <v>213.53</v>
      </c>
    </row>
    <row r="42" spans="1:11" s="105" customFormat="1" ht="14">
      <c r="A42" s="239"/>
      <c r="B42" s="273" t="s">
        <v>106</v>
      </c>
      <c r="C42" s="350">
        <f t="shared" si="0"/>
        <v>17875.07</v>
      </c>
      <c r="D42" s="362">
        <v>216.54</v>
      </c>
      <c r="E42" s="363">
        <v>1577.85</v>
      </c>
      <c r="F42" s="353">
        <f t="shared" si="1"/>
        <v>8431.1</v>
      </c>
      <c r="G42" s="363">
        <v>1201.6300000000001</v>
      </c>
      <c r="H42" s="353">
        <v>7229.47</v>
      </c>
      <c r="I42" s="363">
        <v>5202.08</v>
      </c>
      <c r="J42" s="353">
        <v>2242.89</v>
      </c>
      <c r="K42" s="363">
        <v>204.61</v>
      </c>
    </row>
    <row r="43" spans="1:11" s="105" customFormat="1" ht="14">
      <c r="A43" s="239"/>
      <c r="B43" s="273" t="s">
        <v>107</v>
      </c>
      <c r="C43" s="350">
        <f t="shared" si="0"/>
        <v>19270.29</v>
      </c>
      <c r="D43" s="362">
        <v>214.3</v>
      </c>
      <c r="E43" s="363">
        <v>1292.0899999999999</v>
      </c>
      <c r="F43" s="353">
        <f t="shared" si="1"/>
        <v>9888.77</v>
      </c>
      <c r="G43" s="363">
        <v>1162.32</v>
      </c>
      <c r="H43" s="353">
        <v>8726.4500000000007</v>
      </c>
      <c r="I43" s="363">
        <v>5221.74</v>
      </c>
      <c r="J43" s="353">
        <v>2421.9699999999998</v>
      </c>
      <c r="K43" s="363">
        <v>231.42</v>
      </c>
    </row>
    <row r="44" spans="1:11" s="105" customFormat="1" ht="14">
      <c r="A44" s="239"/>
      <c r="B44" s="273" t="s">
        <v>108</v>
      </c>
      <c r="C44" s="350">
        <f t="shared" si="0"/>
        <v>18439.59</v>
      </c>
      <c r="D44" s="362">
        <v>207.51</v>
      </c>
      <c r="E44" s="352">
        <v>1260.99</v>
      </c>
      <c r="F44" s="353">
        <f t="shared" si="1"/>
        <v>9148.06</v>
      </c>
      <c r="G44" s="352">
        <v>1189.5899999999999</v>
      </c>
      <c r="H44" s="354">
        <v>7958.47</v>
      </c>
      <c r="I44" s="352">
        <v>5235.3</v>
      </c>
      <c r="J44" s="354">
        <v>2378.09</v>
      </c>
      <c r="K44" s="352">
        <v>209.64</v>
      </c>
    </row>
    <row r="45" spans="1:11" s="105" customFormat="1" ht="14">
      <c r="A45" s="239"/>
      <c r="B45" s="273" t="s">
        <v>109</v>
      </c>
      <c r="C45" s="350">
        <f t="shared" si="0"/>
        <v>17716.3</v>
      </c>
      <c r="D45" s="362">
        <v>195.43</v>
      </c>
      <c r="E45" s="352">
        <v>1280.1400000000001</v>
      </c>
      <c r="F45" s="353">
        <f t="shared" si="1"/>
        <v>8234.98</v>
      </c>
      <c r="G45" s="352">
        <v>1215.29</v>
      </c>
      <c r="H45" s="354">
        <v>7019.69</v>
      </c>
      <c r="I45" s="352">
        <v>5261.59</v>
      </c>
      <c r="J45" s="354">
        <v>2528.9699999999998</v>
      </c>
      <c r="K45" s="352">
        <v>215.19</v>
      </c>
    </row>
    <row r="46" spans="1:11" s="105" customFormat="1" ht="14">
      <c r="A46" s="239"/>
      <c r="B46" s="273" t="s">
        <v>110</v>
      </c>
      <c r="C46" s="350">
        <f t="shared" si="0"/>
        <v>19103.37</v>
      </c>
      <c r="D46" s="362">
        <v>182.29</v>
      </c>
      <c r="E46" s="352">
        <v>1346</v>
      </c>
      <c r="F46" s="353">
        <f t="shared" si="1"/>
        <v>9516.98</v>
      </c>
      <c r="G46" s="352">
        <v>1264.9100000000001</v>
      </c>
      <c r="H46" s="354">
        <v>8252.07</v>
      </c>
      <c r="I46" s="352">
        <v>5262.42</v>
      </c>
      <c r="J46" s="354">
        <v>2524.02</v>
      </c>
      <c r="K46" s="352">
        <v>271.66000000000003</v>
      </c>
    </row>
    <row r="47" spans="1:11" s="105" customFormat="1" ht="14">
      <c r="A47" s="239"/>
      <c r="B47" s="273" t="s">
        <v>117</v>
      </c>
      <c r="C47" s="350">
        <f t="shared" si="0"/>
        <v>18339.47</v>
      </c>
      <c r="D47" s="362">
        <v>228.03</v>
      </c>
      <c r="E47" s="352">
        <v>1446.79</v>
      </c>
      <c r="F47" s="353">
        <f t="shared" si="1"/>
        <v>8755.08</v>
      </c>
      <c r="G47" s="352">
        <v>1278.02</v>
      </c>
      <c r="H47" s="354">
        <v>7477.06</v>
      </c>
      <c r="I47" s="352">
        <v>5328.59</v>
      </c>
      <c r="J47" s="354">
        <v>2345.9899999999998</v>
      </c>
      <c r="K47" s="352">
        <v>234.99</v>
      </c>
    </row>
    <row r="48" spans="1:11" s="105" customFormat="1" ht="14">
      <c r="A48" s="239"/>
      <c r="B48" s="273" t="s">
        <v>112</v>
      </c>
      <c r="C48" s="350">
        <f t="shared" si="0"/>
        <v>17646.239999999998</v>
      </c>
      <c r="D48" s="362">
        <v>179.29</v>
      </c>
      <c r="E48" s="352">
        <v>1616.79</v>
      </c>
      <c r="F48" s="353">
        <f t="shared" si="1"/>
        <v>8034.7</v>
      </c>
      <c r="G48" s="352">
        <v>1080.32</v>
      </c>
      <c r="H48" s="354">
        <v>6954.38</v>
      </c>
      <c r="I48" s="352">
        <v>5333.8</v>
      </c>
      <c r="J48" s="354">
        <v>2243.39</v>
      </c>
      <c r="K48" s="352">
        <v>238.27</v>
      </c>
    </row>
    <row r="49" spans="1:11" s="105" customFormat="1" ht="14">
      <c r="A49" s="239"/>
      <c r="B49" s="273" t="s">
        <v>113</v>
      </c>
      <c r="C49" s="350">
        <f t="shared" si="0"/>
        <v>18940.379999999997</v>
      </c>
      <c r="D49" s="362">
        <v>213.26</v>
      </c>
      <c r="E49" s="352">
        <v>1507.03</v>
      </c>
      <c r="F49" s="353">
        <f t="shared" si="1"/>
        <v>9158.39</v>
      </c>
      <c r="G49" s="352">
        <v>1234.8599999999999</v>
      </c>
      <c r="H49" s="354">
        <v>7923.53</v>
      </c>
      <c r="I49" s="352">
        <v>5342.4</v>
      </c>
      <c r="J49" s="354">
        <v>2515.1999999999998</v>
      </c>
      <c r="K49" s="352">
        <v>204.1</v>
      </c>
    </row>
    <row r="50" spans="1:11" s="105" customFormat="1" ht="14">
      <c r="A50" s="239"/>
      <c r="B50" s="273" t="s">
        <v>114</v>
      </c>
      <c r="C50" s="350">
        <f t="shared" si="0"/>
        <v>18384.43</v>
      </c>
      <c r="D50" s="362">
        <v>191.44</v>
      </c>
      <c r="E50" s="352">
        <v>1403.73</v>
      </c>
      <c r="F50" s="353">
        <f t="shared" si="1"/>
        <v>8597.6</v>
      </c>
      <c r="G50" s="352">
        <v>1258.04</v>
      </c>
      <c r="H50" s="354">
        <v>7339.56</v>
      </c>
      <c r="I50" s="352">
        <v>5386.47</v>
      </c>
      <c r="J50" s="354">
        <v>2583.1</v>
      </c>
      <c r="K50" s="352">
        <v>222.09</v>
      </c>
    </row>
    <row r="51" spans="1:11" s="105" customFormat="1" ht="14">
      <c r="A51" s="239"/>
      <c r="B51" s="273" t="s">
        <v>115</v>
      </c>
      <c r="C51" s="350">
        <f t="shared" si="0"/>
        <v>18042.43</v>
      </c>
      <c r="D51" s="362">
        <v>173.06</v>
      </c>
      <c r="E51" s="352">
        <v>1451.76</v>
      </c>
      <c r="F51" s="353">
        <f t="shared" si="1"/>
        <v>8076.74</v>
      </c>
      <c r="G51" s="352">
        <v>1149.55</v>
      </c>
      <c r="H51" s="354">
        <v>6927.19</v>
      </c>
      <c r="I51" s="352">
        <v>5430.18</v>
      </c>
      <c r="J51" s="354">
        <v>2668.07</v>
      </c>
      <c r="K51" s="352">
        <v>242.62</v>
      </c>
    </row>
    <row r="52" spans="1:11" s="105" customFormat="1" ht="14.25" customHeight="1">
      <c r="A52" s="240"/>
      <c r="B52" s="274" t="s">
        <v>116</v>
      </c>
      <c r="C52" s="356">
        <f t="shared" si="0"/>
        <v>18677.329999999998</v>
      </c>
      <c r="D52" s="368">
        <v>274.64</v>
      </c>
      <c r="E52" s="358">
        <v>1488.74</v>
      </c>
      <c r="F52" s="359">
        <f t="shared" si="1"/>
        <v>8607.65</v>
      </c>
      <c r="G52" s="358">
        <v>1349.59</v>
      </c>
      <c r="H52" s="360">
        <v>7258.06</v>
      </c>
      <c r="I52" s="358">
        <v>5497.71</v>
      </c>
      <c r="J52" s="360">
        <v>2459.23</v>
      </c>
      <c r="K52" s="358">
        <v>349.36</v>
      </c>
    </row>
    <row r="53" spans="1:11" s="105" customFormat="1" ht="14">
      <c r="A53" s="238">
        <v>2015</v>
      </c>
      <c r="B53" s="247" t="s">
        <v>105</v>
      </c>
      <c r="C53" s="350">
        <f t="shared" si="0"/>
        <v>17817.880000000005</v>
      </c>
      <c r="D53" s="351">
        <v>192.13</v>
      </c>
      <c r="E53" s="352">
        <v>1511.48</v>
      </c>
      <c r="F53" s="353">
        <f t="shared" si="1"/>
        <v>7915.9600000000009</v>
      </c>
      <c r="G53" s="352">
        <v>1152.19</v>
      </c>
      <c r="H53" s="346">
        <v>6763.77</v>
      </c>
      <c r="I53" s="352">
        <v>5426.71</v>
      </c>
      <c r="J53" s="346">
        <v>2429.65</v>
      </c>
      <c r="K53" s="352">
        <v>341.95</v>
      </c>
    </row>
    <row r="54" spans="1:11" s="105" customFormat="1" ht="14">
      <c r="A54" s="239"/>
      <c r="B54" s="251" t="s">
        <v>106</v>
      </c>
      <c r="C54" s="350">
        <f t="shared" si="0"/>
        <v>17952.48</v>
      </c>
      <c r="D54" s="369">
        <v>209.19</v>
      </c>
      <c r="E54" s="352">
        <v>1522.56</v>
      </c>
      <c r="F54" s="353">
        <f t="shared" si="1"/>
        <v>8019.74</v>
      </c>
      <c r="G54" s="352">
        <v>1223.08</v>
      </c>
      <c r="H54" s="352">
        <v>6796.66</v>
      </c>
      <c r="I54" s="355">
        <v>5406.61</v>
      </c>
      <c r="J54" s="354">
        <v>2441.91</v>
      </c>
      <c r="K54" s="352">
        <v>352.47</v>
      </c>
    </row>
    <row r="55" spans="1:11" s="105" customFormat="1" ht="14">
      <c r="A55" s="239"/>
      <c r="B55" s="273" t="s">
        <v>107</v>
      </c>
      <c r="C55" s="350">
        <f t="shared" si="0"/>
        <v>18274.23</v>
      </c>
      <c r="D55" s="369">
        <v>199.29</v>
      </c>
      <c r="E55" s="352">
        <v>1731.97</v>
      </c>
      <c r="F55" s="353">
        <f t="shared" si="1"/>
        <v>8135.33</v>
      </c>
      <c r="G55" s="352">
        <v>1383.87</v>
      </c>
      <c r="H55" s="352">
        <v>6751.46</v>
      </c>
      <c r="I55" s="352">
        <v>5397.26</v>
      </c>
      <c r="J55" s="352">
        <v>2514.2800000000002</v>
      </c>
      <c r="K55" s="352">
        <v>296.10000000000002</v>
      </c>
    </row>
    <row r="56" spans="1:11" s="105" customFormat="1" ht="14">
      <c r="A56" s="239"/>
      <c r="B56" s="251" t="s">
        <v>108</v>
      </c>
      <c r="C56" s="350">
        <f t="shared" si="0"/>
        <v>17365.920000000002</v>
      </c>
      <c r="D56" s="350">
        <v>209.45</v>
      </c>
      <c r="E56" s="363">
        <v>1606.38</v>
      </c>
      <c r="F56" s="353">
        <f t="shared" si="1"/>
        <v>7007.95</v>
      </c>
      <c r="G56" s="363">
        <v>1130.04</v>
      </c>
      <c r="H56" s="363">
        <v>5877.91</v>
      </c>
      <c r="I56" s="363">
        <v>5666.13</v>
      </c>
      <c r="J56" s="352">
        <v>2561.9</v>
      </c>
      <c r="K56" s="363">
        <v>314.11</v>
      </c>
    </row>
    <row r="57" spans="1:11" s="105" customFormat="1" ht="14">
      <c r="A57" s="239"/>
      <c r="B57" s="251" t="s">
        <v>109</v>
      </c>
      <c r="C57" s="350">
        <f t="shared" si="0"/>
        <v>17193.880000000005</v>
      </c>
      <c r="D57" s="350">
        <v>217.63</v>
      </c>
      <c r="E57" s="363">
        <v>1502.65</v>
      </c>
      <c r="F57" s="353">
        <f t="shared" si="1"/>
        <v>6942.18</v>
      </c>
      <c r="G57" s="363">
        <v>1087.8900000000001</v>
      </c>
      <c r="H57" s="363">
        <v>5854.29</v>
      </c>
      <c r="I57" s="363">
        <v>5672.3</v>
      </c>
      <c r="J57" s="363">
        <v>2536.83</v>
      </c>
      <c r="K57" s="363">
        <v>322.29000000000002</v>
      </c>
    </row>
    <row r="58" spans="1:11" s="105" customFormat="1" ht="14">
      <c r="A58" s="239"/>
      <c r="B58" s="251" t="s">
        <v>110</v>
      </c>
      <c r="C58" s="350">
        <f t="shared" si="0"/>
        <v>17539.14</v>
      </c>
      <c r="D58" s="350">
        <v>232.29</v>
      </c>
      <c r="E58" s="363">
        <v>1644.38</v>
      </c>
      <c r="F58" s="353">
        <f t="shared" si="1"/>
        <v>7093.85</v>
      </c>
      <c r="G58" s="363">
        <v>1037.72</v>
      </c>
      <c r="H58" s="363">
        <v>6056.13</v>
      </c>
      <c r="I58" s="363">
        <v>5686.03</v>
      </c>
      <c r="J58" s="363">
        <v>2551.4299999999998</v>
      </c>
      <c r="K58" s="363">
        <v>331.16</v>
      </c>
    </row>
    <row r="59" spans="1:11" s="105" customFormat="1" ht="14">
      <c r="A59" s="239"/>
      <c r="B59" s="251" t="s">
        <v>117</v>
      </c>
      <c r="C59" s="350">
        <f t="shared" si="0"/>
        <v>17277.53</v>
      </c>
      <c r="D59" s="350">
        <v>242.27</v>
      </c>
      <c r="E59" s="363">
        <v>1493.48</v>
      </c>
      <c r="F59" s="353">
        <f t="shared" si="1"/>
        <v>6777.41</v>
      </c>
      <c r="G59" s="363">
        <v>1009.25</v>
      </c>
      <c r="H59" s="363">
        <v>5768.16</v>
      </c>
      <c r="I59" s="363">
        <v>5788.59</v>
      </c>
      <c r="J59" s="363">
        <v>2643.68</v>
      </c>
      <c r="K59" s="363">
        <v>332.1</v>
      </c>
    </row>
    <row r="60" spans="1:11" s="105" customFormat="1" ht="14">
      <c r="A60" s="239"/>
      <c r="B60" s="251" t="s">
        <v>112</v>
      </c>
      <c r="C60" s="350">
        <f t="shared" si="0"/>
        <v>17089.79</v>
      </c>
      <c r="D60" s="350">
        <v>239.98</v>
      </c>
      <c r="E60" s="363">
        <v>1457.23</v>
      </c>
      <c r="F60" s="353">
        <f t="shared" si="1"/>
        <v>6699.4699999999993</v>
      </c>
      <c r="G60" s="363">
        <v>1071.49</v>
      </c>
      <c r="H60" s="363">
        <v>5627.98</v>
      </c>
      <c r="I60" s="363">
        <v>5822.76</v>
      </c>
      <c r="J60" s="363">
        <v>2561</v>
      </c>
      <c r="K60" s="363">
        <v>309.35000000000002</v>
      </c>
    </row>
    <row r="61" spans="1:11" s="105" customFormat="1" ht="14">
      <c r="A61" s="239"/>
      <c r="B61" s="251" t="s">
        <v>113</v>
      </c>
      <c r="C61" s="350">
        <f t="shared" si="0"/>
        <v>17814.230000000003</v>
      </c>
      <c r="D61" s="350">
        <v>228.07</v>
      </c>
      <c r="E61" s="363">
        <v>1591.39</v>
      </c>
      <c r="F61" s="353">
        <f t="shared" si="1"/>
        <v>6578.6100000000006</v>
      </c>
      <c r="G61" s="363">
        <v>1096.18</v>
      </c>
      <c r="H61" s="363">
        <v>5482.43</v>
      </c>
      <c r="I61" s="363">
        <v>5828.86</v>
      </c>
      <c r="J61" s="363">
        <v>2634.51</v>
      </c>
      <c r="K61" s="363">
        <v>952.79</v>
      </c>
    </row>
    <row r="62" spans="1:11" s="105" customFormat="1" ht="14">
      <c r="A62" s="239"/>
      <c r="B62" s="251" t="s">
        <v>114</v>
      </c>
      <c r="C62" s="350">
        <f t="shared" si="0"/>
        <v>17301.310000000001</v>
      </c>
      <c r="D62" s="369">
        <v>222.39</v>
      </c>
      <c r="E62" s="369">
        <v>1600.38</v>
      </c>
      <c r="F62" s="353">
        <f t="shared" si="1"/>
        <v>6723.45</v>
      </c>
      <c r="G62" s="369">
        <v>1084.1199999999999</v>
      </c>
      <c r="H62" s="369">
        <v>5639.33</v>
      </c>
      <c r="I62" s="369">
        <v>5851.46</v>
      </c>
      <c r="J62" s="369">
        <v>2608</v>
      </c>
      <c r="K62" s="369">
        <v>295.63</v>
      </c>
    </row>
    <row r="63" spans="1:11" s="105" customFormat="1" ht="14">
      <c r="A63" s="239"/>
      <c r="B63" s="251" t="s">
        <v>115</v>
      </c>
      <c r="C63" s="350">
        <f t="shared" si="0"/>
        <v>16837.34</v>
      </c>
      <c r="D63" s="369">
        <v>241.34</v>
      </c>
      <c r="E63" s="369">
        <v>1660.3</v>
      </c>
      <c r="F63" s="353">
        <f t="shared" si="1"/>
        <v>6386.48</v>
      </c>
      <c r="G63" s="369">
        <v>1114.27</v>
      </c>
      <c r="H63" s="369">
        <v>5272.21</v>
      </c>
      <c r="I63" s="369">
        <v>5909.81</v>
      </c>
      <c r="J63" s="369">
        <v>2351.11</v>
      </c>
      <c r="K63" s="369">
        <v>288.3</v>
      </c>
    </row>
    <row r="64" spans="1:11" s="105" customFormat="1" ht="14">
      <c r="A64" s="240"/>
      <c r="B64" s="252" t="s">
        <v>116</v>
      </c>
      <c r="C64" s="356">
        <f t="shared" si="0"/>
        <v>17040.919999999998</v>
      </c>
      <c r="D64" s="356">
        <v>282.17</v>
      </c>
      <c r="E64" s="356">
        <v>1688.48</v>
      </c>
      <c r="F64" s="359">
        <f t="shared" si="1"/>
        <v>6520.52</v>
      </c>
      <c r="G64" s="370">
        <v>1057.76</v>
      </c>
      <c r="H64" s="370">
        <v>5462.76</v>
      </c>
      <c r="I64" s="370">
        <v>5899.69</v>
      </c>
      <c r="J64" s="370">
        <v>2269.21</v>
      </c>
      <c r="K64" s="370">
        <v>380.85</v>
      </c>
    </row>
    <row r="65" spans="1:11" s="105" customFormat="1" ht="14">
      <c r="A65" s="238">
        <v>2016</v>
      </c>
      <c r="B65" s="272" t="s">
        <v>105</v>
      </c>
      <c r="C65" s="350">
        <f t="shared" si="0"/>
        <v>16750.689999999999</v>
      </c>
      <c r="D65" s="365">
        <v>227.65</v>
      </c>
      <c r="E65" s="344">
        <v>1372.77</v>
      </c>
      <c r="F65" s="353">
        <f t="shared" si="1"/>
        <v>6626.88</v>
      </c>
      <c r="G65" s="344">
        <v>972.8</v>
      </c>
      <c r="H65" s="365">
        <v>5654.08</v>
      </c>
      <c r="I65" s="344">
        <v>5852.91</v>
      </c>
      <c r="J65" s="365">
        <v>2290.2399999999998</v>
      </c>
      <c r="K65" s="344">
        <v>380.24</v>
      </c>
    </row>
    <row r="66" spans="1:11" s="105" customFormat="1" ht="14">
      <c r="A66" s="239"/>
      <c r="B66" s="273" t="s">
        <v>106</v>
      </c>
      <c r="C66" s="350">
        <f t="shared" si="0"/>
        <v>16806.650000000001</v>
      </c>
      <c r="D66" s="362">
        <v>237.8</v>
      </c>
      <c r="E66" s="350">
        <v>1501.55</v>
      </c>
      <c r="F66" s="353">
        <f t="shared" si="1"/>
        <v>6546.8</v>
      </c>
      <c r="G66" s="350">
        <v>919.93</v>
      </c>
      <c r="H66" s="362">
        <v>5626.87</v>
      </c>
      <c r="I66" s="369">
        <v>5793.26</v>
      </c>
      <c r="J66" s="362">
        <v>2383.5</v>
      </c>
      <c r="K66" s="369">
        <v>343.74</v>
      </c>
    </row>
    <row r="67" spans="1:11" s="105" customFormat="1" ht="14">
      <c r="A67" s="239"/>
      <c r="B67" s="251" t="s">
        <v>107</v>
      </c>
      <c r="C67" s="350">
        <f t="shared" si="0"/>
        <v>17320.84</v>
      </c>
      <c r="D67" s="362">
        <v>245.43</v>
      </c>
      <c r="E67" s="350">
        <v>1637.73</v>
      </c>
      <c r="F67" s="353">
        <f t="shared" si="1"/>
        <v>6603.4699999999993</v>
      </c>
      <c r="G67" s="350">
        <v>671.06</v>
      </c>
      <c r="H67" s="362">
        <v>5932.41</v>
      </c>
      <c r="I67" s="369">
        <v>5861.74</v>
      </c>
      <c r="J67" s="351">
        <v>2499.6999999999998</v>
      </c>
      <c r="K67" s="369">
        <v>472.77</v>
      </c>
    </row>
    <row r="68" spans="1:11" s="105" customFormat="1" ht="14">
      <c r="A68" s="239"/>
      <c r="B68" s="273" t="s">
        <v>108</v>
      </c>
      <c r="C68" s="350">
        <f t="shared" si="0"/>
        <v>16872.579999999998</v>
      </c>
      <c r="D68" s="362">
        <v>251.56</v>
      </c>
      <c r="E68" s="350">
        <v>1484.38</v>
      </c>
      <c r="F68" s="353">
        <f t="shared" si="1"/>
        <v>6535.8399999999992</v>
      </c>
      <c r="G68" s="350">
        <v>673.86</v>
      </c>
      <c r="H68" s="362">
        <v>5861.98</v>
      </c>
      <c r="I68" s="369">
        <v>5834.82</v>
      </c>
      <c r="J68" s="362">
        <v>2294.5300000000002</v>
      </c>
      <c r="K68" s="350">
        <v>471.45</v>
      </c>
    </row>
    <row r="69" spans="1:11" s="105" customFormat="1" ht="14">
      <c r="A69" s="239"/>
      <c r="B69" s="273" t="s">
        <v>109</v>
      </c>
      <c r="C69" s="350">
        <f t="shared" si="0"/>
        <v>16720.61</v>
      </c>
      <c r="D69" s="362">
        <v>248.36</v>
      </c>
      <c r="E69" s="350">
        <v>1679.95</v>
      </c>
      <c r="F69" s="353">
        <f t="shared" si="1"/>
        <v>6570.0999999999995</v>
      </c>
      <c r="G69" s="350">
        <v>675.07</v>
      </c>
      <c r="H69" s="362">
        <v>5895.03</v>
      </c>
      <c r="I69" s="369">
        <v>5845.47</v>
      </c>
      <c r="J69" s="362">
        <v>2013.75</v>
      </c>
      <c r="K69" s="350">
        <v>362.98</v>
      </c>
    </row>
    <row r="70" spans="1:11" s="105" customFormat="1" ht="14">
      <c r="A70" s="239"/>
      <c r="B70" s="251" t="s">
        <v>110</v>
      </c>
      <c r="C70" s="350">
        <f t="shared" si="0"/>
        <v>17249.740000000002</v>
      </c>
      <c r="D70" s="362">
        <v>266.3</v>
      </c>
      <c r="E70" s="350">
        <v>1900.01</v>
      </c>
      <c r="F70" s="353">
        <f t="shared" si="1"/>
        <v>6828.71</v>
      </c>
      <c r="G70" s="350">
        <v>698.2</v>
      </c>
      <c r="H70" s="362">
        <v>6130.51</v>
      </c>
      <c r="I70" s="369">
        <v>5797.72</v>
      </c>
      <c r="J70" s="362">
        <v>2035.68</v>
      </c>
      <c r="K70" s="350">
        <v>421.32</v>
      </c>
    </row>
    <row r="71" spans="1:11" s="105" customFormat="1" ht="14">
      <c r="A71" s="239"/>
      <c r="B71" s="273" t="s">
        <v>117</v>
      </c>
      <c r="C71" s="350">
        <f t="shared" ref="C71:C88" si="2">D71+E71+F71+I71+J71+K71</f>
        <v>17171.759999999998</v>
      </c>
      <c r="D71" s="362">
        <v>269.67</v>
      </c>
      <c r="E71" s="350">
        <v>1798.36</v>
      </c>
      <c r="F71" s="353">
        <f t="shared" ref="F71:F88" si="3">G71+H71</f>
        <v>6876.25</v>
      </c>
      <c r="G71" s="350">
        <v>675.53</v>
      </c>
      <c r="H71" s="362">
        <v>6200.72</v>
      </c>
      <c r="I71" s="369">
        <v>5769.83</v>
      </c>
      <c r="J71" s="362">
        <v>1993.61</v>
      </c>
      <c r="K71" s="350">
        <v>464.04</v>
      </c>
    </row>
    <row r="72" spans="1:11" s="105" customFormat="1" ht="14">
      <c r="A72" s="239"/>
      <c r="B72" s="251" t="s">
        <v>112</v>
      </c>
      <c r="C72" s="350">
        <f t="shared" si="2"/>
        <v>18379.530000000002</v>
      </c>
      <c r="D72" s="362">
        <v>244.2</v>
      </c>
      <c r="E72" s="350">
        <v>1754.08</v>
      </c>
      <c r="F72" s="353">
        <f t="shared" si="3"/>
        <v>8166.59</v>
      </c>
      <c r="G72" s="350">
        <v>607.08000000000004</v>
      </c>
      <c r="H72" s="362">
        <v>7559.51</v>
      </c>
      <c r="I72" s="369">
        <v>5697.97</v>
      </c>
      <c r="J72" s="362">
        <v>2137.36</v>
      </c>
      <c r="K72" s="350">
        <v>379.33</v>
      </c>
    </row>
    <row r="73" spans="1:11" s="105" customFormat="1" ht="14">
      <c r="A73" s="239"/>
      <c r="B73" s="273" t="s">
        <v>113</v>
      </c>
      <c r="C73" s="350">
        <f t="shared" si="2"/>
        <v>18984.849999999999</v>
      </c>
      <c r="D73" s="362">
        <v>256.52999999999997</v>
      </c>
      <c r="E73" s="350">
        <v>1865.43</v>
      </c>
      <c r="F73" s="353">
        <f t="shared" si="3"/>
        <v>8804.630000000001</v>
      </c>
      <c r="G73" s="350">
        <v>609.26</v>
      </c>
      <c r="H73" s="362">
        <v>8195.3700000000008</v>
      </c>
      <c r="I73" s="369">
        <v>5657.95</v>
      </c>
      <c r="J73" s="362">
        <v>2058.19</v>
      </c>
      <c r="K73" s="350">
        <v>342.12</v>
      </c>
    </row>
    <row r="74" spans="1:11" s="105" customFormat="1" ht="14">
      <c r="A74" s="239"/>
      <c r="B74" s="251" t="s">
        <v>114</v>
      </c>
      <c r="C74" s="350">
        <f t="shared" si="2"/>
        <v>17821.989999999998</v>
      </c>
      <c r="D74" s="351">
        <v>246.04</v>
      </c>
      <c r="E74" s="350">
        <v>1443.73</v>
      </c>
      <c r="F74" s="353">
        <f t="shared" si="3"/>
        <v>8454.98</v>
      </c>
      <c r="G74" s="350">
        <v>573.35</v>
      </c>
      <c r="H74" s="362">
        <v>7881.63</v>
      </c>
      <c r="I74" s="369">
        <v>5384.66</v>
      </c>
      <c r="J74" s="351">
        <v>1968.83</v>
      </c>
      <c r="K74" s="350">
        <v>323.75</v>
      </c>
    </row>
    <row r="75" spans="1:11" s="105" customFormat="1" ht="14">
      <c r="A75" s="239"/>
      <c r="B75" s="273" t="s">
        <v>115</v>
      </c>
      <c r="C75" s="350">
        <f t="shared" si="2"/>
        <v>17292.830000000002</v>
      </c>
      <c r="D75" s="351">
        <v>230.94</v>
      </c>
      <c r="E75" s="350">
        <v>1456.93</v>
      </c>
      <c r="F75" s="353">
        <f t="shared" si="3"/>
        <v>7978.59</v>
      </c>
      <c r="G75" s="350">
        <v>650.98</v>
      </c>
      <c r="H75" s="362">
        <v>7327.61</v>
      </c>
      <c r="I75" s="369">
        <v>5288.19</v>
      </c>
      <c r="J75" s="351">
        <v>2029.33</v>
      </c>
      <c r="K75" s="350">
        <v>308.85000000000002</v>
      </c>
    </row>
    <row r="76" spans="1:11" s="105" customFormat="1" ht="14">
      <c r="A76" s="240"/>
      <c r="B76" s="252" t="s">
        <v>116</v>
      </c>
      <c r="C76" s="356">
        <f t="shared" si="2"/>
        <v>17952.55</v>
      </c>
      <c r="D76" s="357">
        <v>250.8</v>
      </c>
      <c r="E76" s="370">
        <v>1803.87</v>
      </c>
      <c r="F76" s="359">
        <f t="shared" si="3"/>
        <v>8192.94</v>
      </c>
      <c r="G76" s="356">
        <v>745.8</v>
      </c>
      <c r="H76" s="368">
        <v>7447.14</v>
      </c>
      <c r="I76" s="356">
        <v>5195.12</v>
      </c>
      <c r="J76" s="357">
        <v>2170.81</v>
      </c>
      <c r="K76" s="370">
        <v>339.01</v>
      </c>
    </row>
    <row r="77" spans="1:11" s="105" customFormat="1" ht="14">
      <c r="A77" s="238">
        <v>2017</v>
      </c>
      <c r="B77" s="272" t="s">
        <v>105</v>
      </c>
      <c r="C77" s="350">
        <f t="shared" si="2"/>
        <v>17162.810000000001</v>
      </c>
      <c r="D77" s="345">
        <v>231.9</v>
      </c>
      <c r="E77" s="344">
        <v>1399.71</v>
      </c>
      <c r="F77" s="353">
        <f t="shared" si="3"/>
        <v>7836.43</v>
      </c>
      <c r="G77" s="344">
        <v>803.06</v>
      </c>
      <c r="H77" s="365">
        <v>7033.37</v>
      </c>
      <c r="I77" s="344">
        <v>5137.3500000000004</v>
      </c>
      <c r="J77" s="365">
        <v>2222.48</v>
      </c>
      <c r="K77" s="344">
        <v>334.94</v>
      </c>
    </row>
    <row r="78" spans="1:11" s="105" customFormat="1" ht="14">
      <c r="A78" s="239"/>
      <c r="B78" s="273" t="s">
        <v>106</v>
      </c>
      <c r="C78" s="350">
        <f t="shared" si="2"/>
        <v>16975.590000000004</v>
      </c>
      <c r="D78" s="351">
        <v>185.98</v>
      </c>
      <c r="E78" s="350">
        <v>1350.22</v>
      </c>
      <c r="F78" s="353">
        <f t="shared" si="3"/>
        <v>7805.42</v>
      </c>
      <c r="G78" s="350">
        <v>775.05</v>
      </c>
      <c r="H78" s="362">
        <v>7030.37</v>
      </c>
      <c r="I78" s="350">
        <v>5071.96</v>
      </c>
      <c r="J78" s="362">
        <v>2172.4299999999998</v>
      </c>
      <c r="K78" s="350">
        <v>389.58</v>
      </c>
    </row>
    <row r="79" spans="1:11" s="105" customFormat="1" ht="14">
      <c r="A79" s="239"/>
      <c r="B79" s="251" t="s">
        <v>107</v>
      </c>
      <c r="C79" s="350">
        <f t="shared" si="2"/>
        <v>16962.13</v>
      </c>
      <c r="D79" s="351">
        <v>196.35</v>
      </c>
      <c r="E79" s="350">
        <v>1719.5</v>
      </c>
      <c r="F79" s="353">
        <f t="shared" si="3"/>
        <v>7522.13</v>
      </c>
      <c r="G79" s="350">
        <v>854.84</v>
      </c>
      <c r="H79" s="362">
        <v>6667.29</v>
      </c>
      <c r="I79" s="350">
        <v>5047.18</v>
      </c>
      <c r="J79" s="362">
        <v>2121.34</v>
      </c>
      <c r="K79" s="350">
        <v>355.63</v>
      </c>
    </row>
    <row r="80" spans="1:11" s="105" customFormat="1" ht="14">
      <c r="A80" s="239"/>
      <c r="B80" s="273" t="s">
        <v>108</v>
      </c>
      <c r="C80" s="350">
        <f t="shared" si="2"/>
        <v>17157.170000000002</v>
      </c>
      <c r="D80" s="362">
        <v>204.05</v>
      </c>
      <c r="E80" s="350">
        <v>1464.99</v>
      </c>
      <c r="F80" s="353">
        <f t="shared" si="3"/>
        <v>8044.07</v>
      </c>
      <c r="G80" s="350">
        <v>852.88</v>
      </c>
      <c r="H80" s="362">
        <v>7191.19</v>
      </c>
      <c r="I80" s="350">
        <v>5016.49</v>
      </c>
      <c r="J80" s="362">
        <v>2073.1</v>
      </c>
      <c r="K80" s="350">
        <v>354.47</v>
      </c>
    </row>
    <row r="81" spans="1:11" s="105" customFormat="1" ht="14">
      <c r="A81" s="239"/>
      <c r="B81" s="273" t="s">
        <v>109</v>
      </c>
      <c r="C81" s="350">
        <f t="shared" si="2"/>
        <v>16839.97</v>
      </c>
      <c r="D81" s="362">
        <v>203.65</v>
      </c>
      <c r="E81" s="350">
        <v>1402.33</v>
      </c>
      <c r="F81" s="353">
        <f t="shared" si="3"/>
        <v>7691.59</v>
      </c>
      <c r="G81" s="350">
        <v>791.28</v>
      </c>
      <c r="H81" s="362">
        <v>6900.31</v>
      </c>
      <c r="I81" s="350">
        <v>5003.4399999999996</v>
      </c>
      <c r="J81" s="362">
        <v>2092.9699999999998</v>
      </c>
      <c r="K81" s="350">
        <v>445.99</v>
      </c>
    </row>
    <row r="82" spans="1:11" s="105" customFormat="1" ht="14">
      <c r="A82" s="239"/>
      <c r="B82" s="251" t="s">
        <v>110</v>
      </c>
      <c r="C82" s="350">
        <f t="shared" si="2"/>
        <v>17304.79</v>
      </c>
      <c r="D82" s="362">
        <v>221.93</v>
      </c>
      <c r="E82" s="350">
        <v>1168.3399999999999</v>
      </c>
      <c r="F82" s="353">
        <f t="shared" si="3"/>
        <v>8336.5300000000007</v>
      </c>
      <c r="G82" s="350">
        <v>841.43</v>
      </c>
      <c r="H82" s="362">
        <v>7495.1</v>
      </c>
      <c r="I82" s="350">
        <v>5015.13</v>
      </c>
      <c r="J82" s="362">
        <v>2217.12</v>
      </c>
      <c r="K82" s="350">
        <v>345.74</v>
      </c>
    </row>
    <row r="83" spans="1:11" s="105" customFormat="1" ht="14">
      <c r="A83" s="239"/>
      <c r="B83" s="273" t="s">
        <v>117</v>
      </c>
      <c r="C83" s="350">
        <f t="shared" si="2"/>
        <v>16716.14</v>
      </c>
      <c r="D83" s="362">
        <v>175.2</v>
      </c>
      <c r="E83" s="350">
        <v>1064.49</v>
      </c>
      <c r="F83" s="353">
        <f t="shared" si="3"/>
        <v>7801.6799999999994</v>
      </c>
      <c r="G83" s="350">
        <v>749.53</v>
      </c>
      <c r="H83" s="362">
        <v>7052.15</v>
      </c>
      <c r="I83" s="350">
        <v>4977.9799999999996</v>
      </c>
      <c r="J83" s="362">
        <v>2331.8000000000002</v>
      </c>
      <c r="K83" s="350">
        <v>364.99</v>
      </c>
    </row>
    <row r="84" spans="1:11" s="105" customFormat="1" ht="14">
      <c r="A84" s="239"/>
      <c r="B84" s="251" t="s">
        <v>112</v>
      </c>
      <c r="C84" s="350">
        <f t="shared" si="2"/>
        <v>16813.84</v>
      </c>
      <c r="D84" s="362">
        <v>184.03</v>
      </c>
      <c r="E84" s="350">
        <v>1070.8399999999999</v>
      </c>
      <c r="F84" s="353">
        <f t="shared" si="3"/>
        <v>7857.31</v>
      </c>
      <c r="G84" s="350">
        <v>765.1</v>
      </c>
      <c r="H84" s="362">
        <v>7092.21</v>
      </c>
      <c r="I84" s="350">
        <v>5011.74</v>
      </c>
      <c r="J84" s="362">
        <v>2361.0500000000002</v>
      </c>
      <c r="K84" s="350">
        <v>328.87</v>
      </c>
    </row>
    <row r="85" spans="1:11" s="105" customFormat="1" ht="14">
      <c r="A85" s="239"/>
      <c r="B85" s="273" t="s">
        <v>113</v>
      </c>
      <c r="C85" s="350">
        <f t="shared" si="2"/>
        <v>17368.810000000001</v>
      </c>
      <c r="D85" s="362">
        <v>180.62</v>
      </c>
      <c r="E85" s="350">
        <v>1360.87</v>
      </c>
      <c r="F85" s="353">
        <f t="shared" si="3"/>
        <v>8242.11</v>
      </c>
      <c r="G85" s="350">
        <v>707.62</v>
      </c>
      <c r="H85" s="362">
        <v>7534.49</v>
      </c>
      <c r="I85" s="350">
        <v>4966.74</v>
      </c>
      <c r="J85" s="362">
        <v>2278.31</v>
      </c>
      <c r="K85" s="350">
        <v>340.16</v>
      </c>
    </row>
    <row r="86" spans="1:11" s="105" customFormat="1" ht="14">
      <c r="A86" s="239"/>
      <c r="B86" s="251" t="s">
        <v>114</v>
      </c>
      <c r="C86" s="350">
        <f t="shared" si="2"/>
        <v>17112.41</v>
      </c>
      <c r="D86" s="362">
        <v>179.04</v>
      </c>
      <c r="E86" s="350">
        <v>1107.68</v>
      </c>
      <c r="F86" s="353">
        <f t="shared" si="3"/>
        <v>8293.77</v>
      </c>
      <c r="G86" s="350">
        <v>656.57</v>
      </c>
      <c r="H86" s="362">
        <v>7637.2</v>
      </c>
      <c r="I86" s="350">
        <v>4956.05</v>
      </c>
      <c r="J86" s="362">
        <v>2256.2800000000002</v>
      </c>
      <c r="K86" s="350">
        <v>319.58999999999997</v>
      </c>
    </row>
    <row r="87" spans="1:11" s="105" customFormat="1" ht="14">
      <c r="A87" s="239">
        <v>2017</v>
      </c>
      <c r="B87" s="273" t="s">
        <v>115</v>
      </c>
      <c r="C87" s="350">
        <f t="shared" si="2"/>
        <v>16785.79</v>
      </c>
      <c r="D87" s="362">
        <v>153.34</v>
      </c>
      <c r="E87" s="350">
        <v>1204.6099999999999</v>
      </c>
      <c r="F87" s="353">
        <f t="shared" si="3"/>
        <v>7744.9900000000007</v>
      </c>
      <c r="G87" s="350">
        <v>606.97</v>
      </c>
      <c r="H87" s="362">
        <v>7138.02</v>
      </c>
      <c r="I87" s="350">
        <v>4939.82</v>
      </c>
      <c r="J87" s="362">
        <v>2410.2600000000002</v>
      </c>
      <c r="K87" s="369">
        <v>332.77</v>
      </c>
    </row>
    <row r="88" spans="1:11" s="105" customFormat="1" ht="14">
      <c r="A88" s="240"/>
      <c r="B88" s="252" t="s">
        <v>116</v>
      </c>
      <c r="C88" s="356">
        <f t="shared" si="2"/>
        <v>17484.05</v>
      </c>
      <c r="D88" s="368">
        <v>175.48</v>
      </c>
      <c r="E88" s="356">
        <v>1504.35</v>
      </c>
      <c r="F88" s="359">
        <f t="shared" si="3"/>
        <v>8177.0300000000007</v>
      </c>
      <c r="G88" s="356">
        <v>607.19000000000005</v>
      </c>
      <c r="H88" s="368">
        <v>7569.84</v>
      </c>
      <c r="I88" s="356">
        <v>4932.09</v>
      </c>
      <c r="J88" s="357">
        <v>2353.89</v>
      </c>
      <c r="K88" s="370">
        <v>341.21</v>
      </c>
    </row>
    <row r="89" spans="1:11" s="105" customFormat="1" ht="14">
      <c r="A89" s="238">
        <v>2018</v>
      </c>
      <c r="B89" s="272" t="s">
        <v>105</v>
      </c>
      <c r="C89" s="344">
        <f t="shared" ref="C89:C152" si="4">D89+E89+F89+I89+J89+K89</f>
        <v>16935.719999999998</v>
      </c>
      <c r="D89" s="365">
        <v>147.36000000000001</v>
      </c>
      <c r="E89" s="344">
        <v>1131.6199999999999</v>
      </c>
      <c r="F89" s="347">
        <f t="shared" ref="F89:F152" si="5">G89+H89</f>
        <v>7956.9400000000005</v>
      </c>
      <c r="G89" s="344">
        <v>653.30999999999995</v>
      </c>
      <c r="H89" s="365">
        <v>7303.63</v>
      </c>
      <c r="I89" s="344">
        <v>4926.13</v>
      </c>
      <c r="J89" s="365">
        <v>2403.21</v>
      </c>
      <c r="K89" s="344">
        <v>370.46</v>
      </c>
    </row>
    <row r="90" spans="1:11" s="105" customFormat="1" ht="14">
      <c r="A90" s="239"/>
      <c r="B90" s="273" t="s">
        <v>106</v>
      </c>
      <c r="C90" s="350">
        <f t="shared" si="4"/>
        <v>16675.2</v>
      </c>
      <c r="D90" s="362">
        <v>151.65</v>
      </c>
      <c r="E90" s="350">
        <v>1264.58</v>
      </c>
      <c r="F90" s="353">
        <f t="shared" si="5"/>
        <v>7603.5999999999995</v>
      </c>
      <c r="G90" s="350">
        <v>617.4</v>
      </c>
      <c r="H90" s="362">
        <v>6986.2</v>
      </c>
      <c r="I90" s="350">
        <v>4900.32</v>
      </c>
      <c r="J90" s="362">
        <v>2455.44</v>
      </c>
      <c r="K90" s="350">
        <v>299.61</v>
      </c>
    </row>
    <row r="91" spans="1:11" s="105" customFormat="1" ht="14">
      <c r="A91" s="239"/>
      <c r="B91" s="251" t="s">
        <v>107</v>
      </c>
      <c r="C91" s="350">
        <f t="shared" si="4"/>
        <v>17186.099999999999</v>
      </c>
      <c r="D91" s="362">
        <v>155.21</v>
      </c>
      <c r="E91" s="350">
        <v>1762.05</v>
      </c>
      <c r="F91" s="353">
        <f t="shared" si="5"/>
        <v>7665.14</v>
      </c>
      <c r="G91" s="350">
        <v>616.83000000000004</v>
      </c>
      <c r="H91" s="362">
        <v>7048.31</v>
      </c>
      <c r="I91" s="350">
        <v>4925.28</v>
      </c>
      <c r="J91" s="362">
        <v>2376.6</v>
      </c>
      <c r="K91" s="350">
        <v>301.82</v>
      </c>
    </row>
    <row r="92" spans="1:11" s="105" customFormat="1" ht="14">
      <c r="A92" s="239"/>
      <c r="B92" s="273" t="s">
        <v>108</v>
      </c>
      <c r="C92" s="362">
        <f t="shared" si="4"/>
        <v>16479</v>
      </c>
      <c r="D92" s="350">
        <v>152.84</v>
      </c>
      <c r="E92" s="350">
        <v>1148.56</v>
      </c>
      <c r="F92" s="363">
        <f t="shared" si="5"/>
        <v>7584.9400000000005</v>
      </c>
      <c r="G92" s="350">
        <v>612.98</v>
      </c>
      <c r="H92" s="350">
        <v>6971.96</v>
      </c>
      <c r="I92" s="350">
        <v>4938.33</v>
      </c>
      <c r="J92" s="350">
        <v>2376.87</v>
      </c>
      <c r="K92" s="371">
        <v>277.45999999999998</v>
      </c>
    </row>
    <row r="93" spans="1:11" s="105" customFormat="1" ht="14">
      <c r="A93" s="239"/>
      <c r="B93" s="273" t="s">
        <v>109</v>
      </c>
      <c r="C93" s="362">
        <f t="shared" si="4"/>
        <v>16405.150000000001</v>
      </c>
      <c r="D93" s="369">
        <v>167.8</v>
      </c>
      <c r="E93" s="350">
        <v>1195.74</v>
      </c>
      <c r="F93" s="363">
        <f t="shared" si="5"/>
        <v>7340.16</v>
      </c>
      <c r="G93" s="350">
        <v>626.47</v>
      </c>
      <c r="H93" s="350">
        <v>6713.69</v>
      </c>
      <c r="I93" s="350">
        <v>5042.41</v>
      </c>
      <c r="J93" s="369">
        <v>2382.56</v>
      </c>
      <c r="K93" s="371">
        <v>276.48</v>
      </c>
    </row>
    <row r="94" spans="1:11" s="105" customFormat="1" ht="14">
      <c r="A94" s="239"/>
      <c r="B94" s="273" t="s">
        <v>110</v>
      </c>
      <c r="C94" s="362">
        <f t="shared" si="4"/>
        <v>17712.36</v>
      </c>
      <c r="D94" s="350">
        <v>155.34</v>
      </c>
      <c r="E94" s="350">
        <v>1655.48</v>
      </c>
      <c r="F94" s="363">
        <f t="shared" si="5"/>
        <v>7990.14</v>
      </c>
      <c r="G94" s="350">
        <v>624.97</v>
      </c>
      <c r="H94" s="350">
        <v>7365.17</v>
      </c>
      <c r="I94" s="350">
        <v>5170.76</v>
      </c>
      <c r="J94" s="369">
        <v>2466.73</v>
      </c>
      <c r="K94" s="371">
        <v>273.91000000000003</v>
      </c>
    </row>
    <row r="95" spans="1:11" s="105" customFormat="1" ht="14">
      <c r="A95" s="239"/>
      <c r="B95" s="251" t="s">
        <v>117</v>
      </c>
      <c r="C95" s="350">
        <f t="shared" si="4"/>
        <v>17396.93</v>
      </c>
      <c r="D95" s="350">
        <v>154.06</v>
      </c>
      <c r="E95" s="350">
        <v>1215.6400000000001</v>
      </c>
      <c r="F95" s="363">
        <f t="shared" si="5"/>
        <v>8129.78</v>
      </c>
      <c r="G95" s="350">
        <v>610.88</v>
      </c>
      <c r="H95" s="350">
        <v>7518.9</v>
      </c>
      <c r="I95" s="350">
        <v>5161.97</v>
      </c>
      <c r="J95" s="350">
        <v>2456.31</v>
      </c>
      <c r="K95" s="350">
        <v>279.17</v>
      </c>
    </row>
    <row r="96" spans="1:11" s="105" customFormat="1" ht="14">
      <c r="A96" s="239"/>
      <c r="B96" s="251" t="s">
        <v>112</v>
      </c>
      <c r="C96" s="350">
        <f t="shared" si="4"/>
        <v>17261.489999999998</v>
      </c>
      <c r="D96" s="369">
        <v>141.78</v>
      </c>
      <c r="E96" s="350">
        <v>1242.8</v>
      </c>
      <c r="F96" s="363">
        <f t="shared" si="5"/>
        <v>7905.7</v>
      </c>
      <c r="G96" s="350">
        <v>625.86</v>
      </c>
      <c r="H96" s="350">
        <v>7279.84</v>
      </c>
      <c r="I96" s="350">
        <v>5223.8999999999996</v>
      </c>
      <c r="J96" s="350">
        <v>2464.5300000000002</v>
      </c>
      <c r="K96" s="350">
        <v>282.77999999999997</v>
      </c>
    </row>
    <row r="97" spans="1:11" s="105" customFormat="1" ht="14">
      <c r="A97" s="239"/>
      <c r="B97" s="251" t="s">
        <v>113</v>
      </c>
      <c r="C97" s="350">
        <f t="shared" si="4"/>
        <v>17528.399999999998</v>
      </c>
      <c r="D97" s="369">
        <v>137.47</v>
      </c>
      <c r="E97" s="350">
        <v>1473.08</v>
      </c>
      <c r="F97" s="363">
        <f t="shared" si="5"/>
        <v>8055.95</v>
      </c>
      <c r="G97" s="350">
        <v>618.57000000000005</v>
      </c>
      <c r="H97" s="350">
        <v>7437.38</v>
      </c>
      <c r="I97" s="350">
        <v>5193.08</v>
      </c>
      <c r="J97" s="350">
        <v>2387.9699999999998</v>
      </c>
      <c r="K97" s="350">
        <v>280.85000000000002</v>
      </c>
    </row>
    <row r="98" spans="1:11" s="105" customFormat="1" ht="14">
      <c r="A98" s="239"/>
      <c r="B98" s="273" t="s">
        <v>114</v>
      </c>
      <c r="C98" s="362">
        <f t="shared" si="4"/>
        <v>16637.95</v>
      </c>
      <c r="D98" s="350">
        <v>149.36000000000001</v>
      </c>
      <c r="E98" s="350">
        <v>1226.6500000000001</v>
      </c>
      <c r="F98" s="363">
        <f t="shared" si="5"/>
        <v>7515.6</v>
      </c>
      <c r="G98" s="350">
        <v>603.71</v>
      </c>
      <c r="H98" s="350">
        <v>6911.89</v>
      </c>
      <c r="I98" s="350">
        <v>5182.9799999999996</v>
      </c>
      <c r="J98" s="350">
        <v>2290.9699999999998</v>
      </c>
      <c r="K98" s="371">
        <v>272.39</v>
      </c>
    </row>
    <row r="99" spans="1:11" s="105" customFormat="1" ht="14">
      <c r="A99" s="239"/>
      <c r="B99" s="273" t="s">
        <v>115</v>
      </c>
      <c r="C99" s="362">
        <f t="shared" si="4"/>
        <v>16500.5</v>
      </c>
      <c r="D99" s="350">
        <v>153.09</v>
      </c>
      <c r="E99" s="350">
        <v>1223.26</v>
      </c>
      <c r="F99" s="363">
        <f t="shared" si="5"/>
        <v>7308.29</v>
      </c>
      <c r="G99" s="350">
        <v>586.97</v>
      </c>
      <c r="H99" s="350">
        <v>6721.32</v>
      </c>
      <c r="I99" s="350">
        <v>5282.97</v>
      </c>
      <c r="J99" s="350">
        <v>2246.59</v>
      </c>
      <c r="K99" s="371">
        <v>286.3</v>
      </c>
    </row>
    <row r="100" spans="1:11" s="105" customFormat="1" ht="14">
      <c r="A100" s="240"/>
      <c r="B100" s="274" t="s">
        <v>116</v>
      </c>
      <c r="C100" s="368">
        <f t="shared" si="4"/>
        <v>18330.780000000002</v>
      </c>
      <c r="D100" s="370">
        <v>171.25</v>
      </c>
      <c r="E100" s="370">
        <v>1453.01</v>
      </c>
      <c r="F100" s="359">
        <f t="shared" si="5"/>
        <v>8751.17</v>
      </c>
      <c r="G100" s="370">
        <v>558.22</v>
      </c>
      <c r="H100" s="370">
        <v>8192.9500000000007</v>
      </c>
      <c r="I100" s="370">
        <v>5267.47</v>
      </c>
      <c r="J100" s="370">
        <v>2359.4699999999998</v>
      </c>
      <c r="K100" s="372">
        <v>328.41</v>
      </c>
    </row>
    <row r="101" spans="1:11" s="105" customFormat="1" ht="14">
      <c r="A101" s="238">
        <v>2019</v>
      </c>
      <c r="B101" s="272" t="s">
        <v>105</v>
      </c>
      <c r="C101" s="365">
        <f t="shared" si="4"/>
        <v>17371</v>
      </c>
      <c r="D101" s="344">
        <v>145.08000000000001</v>
      </c>
      <c r="E101" s="344">
        <v>1163.0999999999999</v>
      </c>
      <c r="F101" s="366">
        <f t="shared" si="5"/>
        <v>8060.1299999999992</v>
      </c>
      <c r="G101" s="344">
        <v>540.30999999999995</v>
      </c>
      <c r="H101" s="344">
        <v>7519.82</v>
      </c>
      <c r="I101" s="344">
        <v>5272</v>
      </c>
      <c r="J101" s="373">
        <v>2351.67</v>
      </c>
      <c r="K101" s="373">
        <v>379.02</v>
      </c>
    </row>
    <row r="102" spans="1:11" s="105" customFormat="1" ht="14">
      <c r="A102" s="239"/>
      <c r="B102" s="273" t="s">
        <v>106</v>
      </c>
      <c r="C102" s="362">
        <f t="shared" si="4"/>
        <v>17092.469999999998</v>
      </c>
      <c r="D102" s="350">
        <v>147.71</v>
      </c>
      <c r="E102" s="350">
        <v>1275.21</v>
      </c>
      <c r="F102" s="363">
        <f t="shared" si="5"/>
        <v>7744.0400000000009</v>
      </c>
      <c r="G102" s="350">
        <v>530.77</v>
      </c>
      <c r="H102" s="350">
        <v>7213.27</v>
      </c>
      <c r="I102" s="350">
        <v>5218.7</v>
      </c>
      <c r="J102" s="369">
        <v>2366.89</v>
      </c>
      <c r="K102" s="369">
        <v>339.92</v>
      </c>
    </row>
    <row r="103" spans="1:11" s="105" customFormat="1" ht="14">
      <c r="A103" s="239"/>
      <c r="B103" s="251" t="s">
        <v>107</v>
      </c>
      <c r="C103" s="362">
        <f t="shared" si="4"/>
        <v>18023.84</v>
      </c>
      <c r="D103" s="350">
        <v>151.32</v>
      </c>
      <c r="E103" s="350">
        <v>1995.82</v>
      </c>
      <c r="F103" s="363">
        <f t="shared" si="5"/>
        <v>8030.18</v>
      </c>
      <c r="G103" s="350">
        <v>534.37</v>
      </c>
      <c r="H103" s="350">
        <v>7495.81</v>
      </c>
      <c r="I103" s="350">
        <v>5208.63</v>
      </c>
      <c r="J103" s="369">
        <v>2317.38</v>
      </c>
      <c r="K103" s="369">
        <v>320.51</v>
      </c>
    </row>
    <row r="104" spans="1:11" s="105" customFormat="1" ht="14">
      <c r="A104" s="239"/>
      <c r="B104" s="273" t="s">
        <v>108</v>
      </c>
      <c r="C104" s="362">
        <f t="shared" si="4"/>
        <v>17527.600000000002</v>
      </c>
      <c r="D104" s="350">
        <v>153.27000000000001</v>
      </c>
      <c r="E104" s="350">
        <v>1349.07</v>
      </c>
      <c r="F104" s="363">
        <f t="shared" si="5"/>
        <v>7992.5300000000007</v>
      </c>
      <c r="G104" s="350">
        <v>525.14</v>
      </c>
      <c r="H104" s="350">
        <v>7467.39</v>
      </c>
      <c r="I104" s="350">
        <v>5295.09</v>
      </c>
      <c r="J104" s="350">
        <v>2421.0500000000002</v>
      </c>
      <c r="K104" s="350">
        <v>316.58999999999997</v>
      </c>
    </row>
    <row r="105" spans="1:11" s="105" customFormat="1" ht="14">
      <c r="A105" s="239"/>
      <c r="B105" s="273" t="s">
        <v>109</v>
      </c>
      <c r="C105" s="362">
        <f t="shared" si="4"/>
        <v>16783.91</v>
      </c>
      <c r="D105" s="350">
        <v>147.91</v>
      </c>
      <c r="E105" s="350">
        <v>1321.72</v>
      </c>
      <c r="F105" s="363">
        <f t="shared" si="5"/>
        <v>7251.47</v>
      </c>
      <c r="G105" s="350">
        <v>515.84</v>
      </c>
      <c r="H105" s="350">
        <v>6735.63</v>
      </c>
      <c r="I105" s="350">
        <v>5296.25</v>
      </c>
      <c r="J105" s="350">
        <v>2443.1799999999998</v>
      </c>
      <c r="K105" s="350">
        <v>323.38</v>
      </c>
    </row>
    <row r="106" spans="1:11" s="105" customFormat="1" ht="14">
      <c r="A106" s="239"/>
      <c r="B106" s="273" t="s">
        <v>110</v>
      </c>
      <c r="C106" s="362">
        <f t="shared" si="4"/>
        <v>17264.75</v>
      </c>
      <c r="D106" s="350">
        <v>145.51</v>
      </c>
      <c r="E106" s="350">
        <v>1620.12</v>
      </c>
      <c r="F106" s="363">
        <f t="shared" si="5"/>
        <v>7424.6</v>
      </c>
      <c r="G106" s="350">
        <v>514.71</v>
      </c>
      <c r="H106" s="350">
        <v>6909.89</v>
      </c>
      <c r="I106" s="350">
        <v>5302.86</v>
      </c>
      <c r="J106" s="350">
        <v>2434.1</v>
      </c>
      <c r="K106" s="350">
        <v>337.56</v>
      </c>
    </row>
    <row r="107" spans="1:11" s="105" customFormat="1" ht="14">
      <c r="A107" s="239"/>
      <c r="B107" s="251" t="s">
        <v>117</v>
      </c>
      <c r="C107" s="362">
        <f t="shared" si="4"/>
        <v>17096.490000000002</v>
      </c>
      <c r="D107" s="350">
        <v>157.86000000000001</v>
      </c>
      <c r="E107" s="369">
        <v>1229.3900000000001</v>
      </c>
      <c r="F107" s="363">
        <f t="shared" si="5"/>
        <v>7757.38</v>
      </c>
      <c r="G107" s="369">
        <v>497.46</v>
      </c>
      <c r="H107" s="369">
        <v>7259.92</v>
      </c>
      <c r="I107" s="369">
        <v>5311.28</v>
      </c>
      <c r="J107" s="369">
        <v>2329.9899999999998</v>
      </c>
      <c r="K107" s="369">
        <v>310.58999999999997</v>
      </c>
    </row>
    <row r="108" spans="1:11" s="105" customFormat="1" ht="14">
      <c r="A108" s="239"/>
      <c r="B108" s="251" t="s">
        <v>112</v>
      </c>
      <c r="C108" s="362">
        <f t="shared" si="4"/>
        <v>16891.019999999997</v>
      </c>
      <c r="D108" s="350">
        <v>159.41999999999999</v>
      </c>
      <c r="E108" s="369">
        <v>1093.98</v>
      </c>
      <c r="F108" s="363">
        <f t="shared" si="5"/>
        <v>7481.11</v>
      </c>
      <c r="G108" s="369">
        <v>540.87</v>
      </c>
      <c r="H108" s="369">
        <v>6940.24</v>
      </c>
      <c r="I108" s="369">
        <v>5597.11</v>
      </c>
      <c r="J108" s="369">
        <v>2242.33</v>
      </c>
      <c r="K108" s="369">
        <v>317.07</v>
      </c>
    </row>
    <row r="109" spans="1:11" s="105" customFormat="1" ht="14">
      <c r="A109" s="239"/>
      <c r="B109" s="251" t="s">
        <v>113</v>
      </c>
      <c r="C109" s="351">
        <f t="shared" si="4"/>
        <v>16853.629999999997</v>
      </c>
      <c r="D109" s="369">
        <v>150.77000000000001</v>
      </c>
      <c r="E109" s="369">
        <v>1267.45</v>
      </c>
      <c r="F109" s="352">
        <f t="shared" si="5"/>
        <v>7311.49</v>
      </c>
      <c r="G109" s="369">
        <v>516.11</v>
      </c>
      <c r="H109" s="369">
        <v>6795.38</v>
      </c>
      <c r="I109" s="369">
        <v>5650.14</v>
      </c>
      <c r="J109" s="369">
        <v>2158.27</v>
      </c>
      <c r="K109" s="369">
        <v>315.51</v>
      </c>
    </row>
    <row r="110" spans="1:11" s="105" customFormat="1" ht="14">
      <c r="A110" s="239"/>
      <c r="B110" s="273" t="s">
        <v>186</v>
      </c>
      <c r="C110" s="350">
        <f t="shared" si="4"/>
        <v>16185.28</v>
      </c>
      <c r="D110" s="350">
        <v>146.07</v>
      </c>
      <c r="E110" s="350">
        <v>1068.9100000000001</v>
      </c>
      <c r="F110" s="363">
        <f t="shared" si="5"/>
        <v>6806.2000000000007</v>
      </c>
      <c r="G110" s="350">
        <v>506.48</v>
      </c>
      <c r="H110" s="350">
        <v>6299.72</v>
      </c>
      <c r="I110" s="350">
        <v>5658.12</v>
      </c>
      <c r="J110" s="350">
        <v>2146.38</v>
      </c>
      <c r="K110" s="350">
        <v>359.6</v>
      </c>
    </row>
    <row r="111" spans="1:11" s="105" customFormat="1" ht="14">
      <c r="A111" s="239"/>
      <c r="B111" s="273" t="s">
        <v>115</v>
      </c>
      <c r="C111" s="350">
        <f t="shared" si="4"/>
        <v>16286.32</v>
      </c>
      <c r="D111" s="350">
        <v>147.63999999999999</v>
      </c>
      <c r="E111" s="350">
        <v>1080.1099999999999</v>
      </c>
      <c r="F111" s="363">
        <f t="shared" si="5"/>
        <v>6801.1699999999992</v>
      </c>
      <c r="G111" s="350">
        <v>502.94</v>
      </c>
      <c r="H111" s="350">
        <v>6298.23</v>
      </c>
      <c r="I111" s="350">
        <v>5713.69</v>
      </c>
      <c r="J111" s="350">
        <v>2214.92</v>
      </c>
      <c r="K111" s="350">
        <v>328.79</v>
      </c>
    </row>
    <row r="112" spans="1:11" s="105" customFormat="1" ht="14">
      <c r="A112" s="240"/>
      <c r="B112" s="274" t="s">
        <v>116</v>
      </c>
      <c r="C112" s="356">
        <f t="shared" si="4"/>
        <v>18608.57</v>
      </c>
      <c r="D112" s="356">
        <v>181.15</v>
      </c>
      <c r="E112" s="356">
        <v>2112.5100000000002</v>
      </c>
      <c r="F112" s="359">
        <f t="shared" si="5"/>
        <v>7875.79</v>
      </c>
      <c r="G112" s="356">
        <v>551.54</v>
      </c>
      <c r="H112" s="356">
        <v>7324.25</v>
      </c>
      <c r="I112" s="356">
        <v>5705.94</v>
      </c>
      <c r="J112" s="356">
        <v>2276.04</v>
      </c>
      <c r="K112" s="356">
        <v>457.14</v>
      </c>
    </row>
    <row r="113" spans="1:11" s="105" customFormat="1" ht="14">
      <c r="A113" s="238">
        <v>2020</v>
      </c>
      <c r="B113" s="272" t="s">
        <v>105</v>
      </c>
      <c r="C113" s="344">
        <f t="shared" si="4"/>
        <v>17678.436951800981</v>
      </c>
      <c r="D113" s="344">
        <v>165.07582559235141</v>
      </c>
      <c r="E113" s="344">
        <v>932.55088225999998</v>
      </c>
      <c r="F113" s="366">
        <f t="shared" si="5"/>
        <v>7964.1761452584851</v>
      </c>
      <c r="G113" s="344">
        <v>552.32185877232996</v>
      </c>
      <c r="H113" s="344">
        <v>7411.8542864861556</v>
      </c>
      <c r="I113" s="344">
        <v>5795.3982670491778</v>
      </c>
      <c r="J113" s="344">
        <v>2466.4835196346357</v>
      </c>
      <c r="K113" s="344">
        <v>354.75231200632976</v>
      </c>
    </row>
    <row r="114" spans="1:11" s="105" customFormat="1" ht="14">
      <c r="A114" s="239"/>
      <c r="B114" s="273" t="s">
        <v>106</v>
      </c>
      <c r="C114" s="350">
        <f t="shared" si="4"/>
        <v>17243.117260896059</v>
      </c>
      <c r="D114" s="350">
        <v>145.15635088707839</v>
      </c>
      <c r="E114" s="350">
        <v>955.33318162</v>
      </c>
      <c r="F114" s="363">
        <f t="shared" si="5"/>
        <v>7472.6419492649666</v>
      </c>
      <c r="G114" s="350">
        <v>561.0177450755325</v>
      </c>
      <c r="H114" s="350">
        <v>6911.6242041894338</v>
      </c>
      <c r="I114" s="350">
        <v>5826.9050688929137</v>
      </c>
      <c r="J114" s="350">
        <v>2484.0105647188752</v>
      </c>
      <c r="K114" s="350">
        <v>359.07014551222591</v>
      </c>
    </row>
    <row r="115" spans="1:11" s="105" customFormat="1" ht="14">
      <c r="A115" s="239"/>
      <c r="B115" s="273" t="s">
        <v>107</v>
      </c>
      <c r="C115" s="374">
        <f t="shared" si="4"/>
        <v>17942.552103438917</v>
      </c>
      <c r="D115" s="350">
        <v>171.51110642150505</v>
      </c>
      <c r="E115" s="350">
        <v>1639.2504350300003</v>
      </c>
      <c r="F115" s="363">
        <f t="shared" si="5"/>
        <v>7566.9093708422533</v>
      </c>
      <c r="G115" s="350">
        <v>517.71582922896005</v>
      </c>
      <c r="H115" s="350">
        <v>7049.1935416132928</v>
      </c>
      <c r="I115" s="350">
        <v>5834.7268142518324</v>
      </c>
      <c r="J115" s="350">
        <v>2358.8678588843441</v>
      </c>
      <c r="K115" s="350">
        <v>371.28651800898194</v>
      </c>
    </row>
    <row r="116" spans="1:11" s="105" customFormat="1" ht="14">
      <c r="A116" s="239"/>
      <c r="B116" s="273" t="s">
        <v>108</v>
      </c>
      <c r="C116" s="362">
        <f t="shared" si="4"/>
        <v>17762.587603853928</v>
      </c>
      <c r="D116" s="350">
        <v>166.36845092973294</v>
      </c>
      <c r="E116" s="350">
        <v>1107.2714051099999</v>
      </c>
      <c r="F116" s="363">
        <f t="shared" si="5"/>
        <v>7936.2008027688371</v>
      </c>
      <c r="G116" s="350">
        <v>500.19092766291021</v>
      </c>
      <c r="H116" s="350">
        <v>7436.0098751059268</v>
      </c>
      <c r="I116" s="350">
        <v>5768.1322687249703</v>
      </c>
      <c r="J116" s="350">
        <v>2357.2970503537554</v>
      </c>
      <c r="K116" s="350">
        <v>427.31762596663214</v>
      </c>
    </row>
    <row r="117" spans="1:11" s="105" customFormat="1" ht="14">
      <c r="A117" s="239"/>
      <c r="B117" s="273" t="s">
        <v>109</v>
      </c>
      <c r="C117" s="362">
        <f t="shared" si="4"/>
        <v>19491.766365793341</v>
      </c>
      <c r="D117" s="350">
        <v>186.37759669464359</v>
      </c>
      <c r="E117" s="350">
        <v>2496.0091739445479</v>
      </c>
      <c r="F117" s="363">
        <f t="shared" si="5"/>
        <v>8083.0305549214472</v>
      </c>
      <c r="G117" s="350">
        <v>554.79683674833416</v>
      </c>
      <c r="H117" s="350">
        <v>7528.2337181731127</v>
      </c>
      <c r="I117" s="350">
        <v>5711.8858574231435</v>
      </c>
      <c r="J117" s="350">
        <v>2607.5577487071814</v>
      </c>
      <c r="K117" s="350">
        <v>406.90543410237643</v>
      </c>
    </row>
    <row r="118" spans="1:11" s="105" customFormat="1" ht="14">
      <c r="A118" s="239"/>
      <c r="B118" s="273" t="s">
        <v>110</v>
      </c>
      <c r="C118" s="362">
        <f t="shared" si="4"/>
        <v>17595.565262882566</v>
      </c>
      <c r="D118" s="350">
        <v>151.29619878576</v>
      </c>
      <c r="E118" s="350">
        <v>2095.4366282699998</v>
      </c>
      <c r="F118" s="363">
        <f t="shared" si="5"/>
        <v>6556.0544951831052</v>
      </c>
      <c r="G118" s="350">
        <v>619.51903831999994</v>
      </c>
      <c r="H118" s="350">
        <v>5936.5354568631055</v>
      </c>
      <c r="I118" s="350">
        <v>5706.5123664882885</v>
      </c>
      <c r="J118" s="350">
        <v>2728.4466845818984</v>
      </c>
      <c r="K118" s="350">
        <v>357.81888957351435</v>
      </c>
    </row>
    <row r="119" spans="1:11" s="105" customFormat="1" ht="14">
      <c r="A119" s="239"/>
      <c r="B119" s="273" t="s">
        <v>117</v>
      </c>
      <c r="C119" s="350">
        <f t="shared" si="4"/>
        <v>17652.139497805383</v>
      </c>
      <c r="D119" s="350">
        <v>155.24541273497545</v>
      </c>
      <c r="E119" s="350">
        <v>975.42428772999995</v>
      </c>
      <c r="F119" s="363">
        <f t="shared" si="5"/>
        <v>7590.1286471028507</v>
      </c>
      <c r="G119" s="350">
        <v>654.95542570999999</v>
      </c>
      <c r="H119" s="350">
        <v>6935.1732213928508</v>
      </c>
      <c r="I119" s="350">
        <v>5671.0423482132537</v>
      </c>
      <c r="J119" s="350">
        <v>2887.1334558950375</v>
      </c>
      <c r="K119" s="350">
        <v>373.16534612926557</v>
      </c>
    </row>
    <row r="120" spans="1:11" s="105" customFormat="1" ht="14">
      <c r="A120" s="239"/>
      <c r="B120" s="273" t="s">
        <v>112</v>
      </c>
      <c r="C120" s="350">
        <f t="shared" si="4"/>
        <v>17882.655060413523</v>
      </c>
      <c r="D120" s="350">
        <v>161.69229328559697</v>
      </c>
      <c r="E120" s="350">
        <v>1302.3918745899998</v>
      </c>
      <c r="F120" s="363">
        <f t="shared" si="5"/>
        <v>7535.3641436281641</v>
      </c>
      <c r="G120" s="350">
        <v>677.09161431000018</v>
      </c>
      <c r="H120" s="350">
        <v>6858.2725293181638</v>
      </c>
      <c r="I120" s="350">
        <v>5606.3958160639768</v>
      </c>
      <c r="J120" s="350">
        <v>2919.6886004432445</v>
      </c>
      <c r="K120" s="350">
        <v>357.12233240253795</v>
      </c>
    </row>
    <row r="121" spans="1:11" s="105" customFormat="1" ht="14">
      <c r="A121" s="239"/>
      <c r="B121" s="273" t="s">
        <v>113</v>
      </c>
      <c r="C121" s="350">
        <f t="shared" si="4"/>
        <v>17912.367939834221</v>
      </c>
      <c r="D121" s="350">
        <v>158.28962703003802</v>
      </c>
      <c r="E121" s="350">
        <v>1290.25352146</v>
      </c>
      <c r="F121" s="363">
        <f t="shared" si="5"/>
        <v>7352.8343230319133</v>
      </c>
      <c r="G121" s="350">
        <v>664.75999855857981</v>
      </c>
      <c r="H121" s="350">
        <v>6688.074324473333</v>
      </c>
      <c r="I121" s="350">
        <v>5654.8754887405512</v>
      </c>
      <c r="J121" s="350">
        <v>3118.6464890920129</v>
      </c>
      <c r="K121" s="350">
        <v>337.46849047970306</v>
      </c>
    </row>
    <row r="122" spans="1:11" s="105" customFormat="1" ht="14">
      <c r="A122" s="239"/>
      <c r="B122" s="273" t="s">
        <v>114</v>
      </c>
      <c r="C122" s="362">
        <f t="shared" si="4"/>
        <v>18124.127184391611</v>
      </c>
      <c r="D122" s="350">
        <v>156.63806594954599</v>
      </c>
      <c r="E122" s="350">
        <v>1225.7812915500001</v>
      </c>
      <c r="F122" s="363">
        <f t="shared" si="5"/>
        <v>7482.4892892760254</v>
      </c>
      <c r="G122" s="350">
        <v>722.83544118798375</v>
      </c>
      <c r="H122" s="350">
        <v>6759.6538480880417</v>
      </c>
      <c r="I122" s="350">
        <v>5658.3198753789138</v>
      </c>
      <c r="J122" s="350">
        <v>3259.2744513672633</v>
      </c>
      <c r="K122" s="350">
        <v>341.62421086986421</v>
      </c>
    </row>
    <row r="123" spans="1:11" s="105" customFormat="1" ht="14">
      <c r="A123" s="239"/>
      <c r="B123" s="273" t="s">
        <v>115</v>
      </c>
      <c r="C123" s="362">
        <f t="shared" si="4"/>
        <v>18125.900455110361</v>
      </c>
      <c r="D123" s="350">
        <v>161.534994736014</v>
      </c>
      <c r="E123" s="350">
        <v>1501.8395706199999</v>
      </c>
      <c r="F123" s="363">
        <f t="shared" si="5"/>
        <v>7077.1522504975001</v>
      </c>
      <c r="G123" s="350">
        <v>735.85635056853755</v>
      </c>
      <c r="H123" s="350">
        <v>6341.2958999289622</v>
      </c>
      <c r="I123" s="350">
        <v>5713.5336564764866</v>
      </c>
      <c r="J123" s="350">
        <v>3312.9817842143361</v>
      </c>
      <c r="K123" s="350">
        <v>358.85819856602359</v>
      </c>
    </row>
    <row r="124" spans="1:11" s="105" customFormat="1" ht="14">
      <c r="A124" s="240"/>
      <c r="B124" s="274" t="s">
        <v>116</v>
      </c>
      <c r="C124" s="368">
        <f t="shared" si="4"/>
        <v>18272.453892056168</v>
      </c>
      <c r="D124" s="356">
        <v>185.74196087571499</v>
      </c>
      <c r="E124" s="356">
        <v>1503.07607211</v>
      </c>
      <c r="F124" s="359">
        <f t="shared" si="5"/>
        <v>7435.5646447364452</v>
      </c>
      <c r="G124" s="356">
        <v>762.86033353021412</v>
      </c>
      <c r="H124" s="356">
        <v>6672.7043112062311</v>
      </c>
      <c r="I124" s="356">
        <v>5659.0601272702488</v>
      </c>
      <c r="J124" s="356">
        <v>3119.8214933037052</v>
      </c>
      <c r="K124" s="356">
        <v>369.18959376005392</v>
      </c>
    </row>
    <row r="125" spans="1:11" s="105" customFormat="1" ht="14">
      <c r="A125" s="238">
        <v>2021</v>
      </c>
      <c r="B125" s="272" t="s">
        <v>105</v>
      </c>
      <c r="C125" s="365">
        <f t="shared" si="4"/>
        <v>17508.716880858883</v>
      </c>
      <c r="D125" s="344">
        <v>153.49419525807298</v>
      </c>
      <c r="E125" s="344">
        <v>1131.16282222</v>
      </c>
      <c r="F125" s="366">
        <f t="shared" si="5"/>
        <v>7289.7345127586932</v>
      </c>
      <c r="G125" s="344">
        <v>744.60651952151693</v>
      </c>
      <c r="H125" s="344">
        <v>6545.1279932371763</v>
      </c>
      <c r="I125" s="344">
        <v>5483.3243164430824</v>
      </c>
      <c r="J125" s="344">
        <v>3117.1088821125327</v>
      </c>
      <c r="K125" s="344">
        <v>333.89215206650084</v>
      </c>
    </row>
    <row r="126" spans="1:11" s="105" customFormat="1" ht="14">
      <c r="A126" s="239"/>
      <c r="B126" s="273" t="s">
        <v>106</v>
      </c>
      <c r="C126" s="362">
        <f t="shared" si="4"/>
        <v>17584.82102919502</v>
      </c>
      <c r="D126" s="350">
        <v>151.05845355730222</v>
      </c>
      <c r="E126" s="350">
        <v>1183.2224425100001</v>
      </c>
      <c r="F126" s="363">
        <f t="shared" si="5"/>
        <v>7306.3239720132869</v>
      </c>
      <c r="G126" s="350">
        <v>730.06025061768673</v>
      </c>
      <c r="H126" s="350">
        <v>6576.2637213956004</v>
      </c>
      <c r="I126" s="350">
        <v>5580.6502576838202</v>
      </c>
      <c r="J126" s="350">
        <v>3030.943755725656</v>
      </c>
      <c r="K126" s="350">
        <v>332.6221477049553</v>
      </c>
    </row>
    <row r="127" spans="1:11" s="105" customFormat="1" ht="14">
      <c r="A127" s="239"/>
      <c r="B127" s="273" t="s">
        <v>107</v>
      </c>
      <c r="C127" s="362">
        <f t="shared" si="4"/>
        <v>18088.184082631979</v>
      </c>
      <c r="D127" s="350">
        <v>157.88952367221145</v>
      </c>
      <c r="E127" s="350">
        <v>1610.4885981499999</v>
      </c>
      <c r="F127" s="363">
        <f t="shared" si="5"/>
        <v>7130.046656566079</v>
      </c>
      <c r="G127" s="350">
        <v>724.36031758872355</v>
      </c>
      <c r="H127" s="350">
        <v>6405.6863389773553</v>
      </c>
      <c r="I127" s="350">
        <v>5668.2139254602826</v>
      </c>
      <c r="J127" s="350">
        <v>3201.9343595833784</v>
      </c>
      <c r="K127" s="350">
        <v>319.61101920002773</v>
      </c>
    </row>
    <row r="128" spans="1:11" s="105" customFormat="1" ht="14">
      <c r="A128" s="239"/>
      <c r="B128" s="273" t="s">
        <v>108</v>
      </c>
      <c r="C128" s="362">
        <f t="shared" si="4"/>
        <v>18086.067944761031</v>
      </c>
      <c r="D128" s="350">
        <v>156.423157825462</v>
      </c>
      <c r="E128" s="350">
        <v>1075.82055113</v>
      </c>
      <c r="F128" s="363">
        <f t="shared" si="5"/>
        <v>7508.6895000421719</v>
      </c>
      <c r="G128" s="350">
        <v>693.75025619462713</v>
      </c>
      <c r="H128" s="350">
        <v>6814.9392438475443</v>
      </c>
      <c r="I128" s="350">
        <v>5655.0505406782049</v>
      </c>
      <c r="J128" s="350">
        <v>3235.7414253385418</v>
      </c>
      <c r="K128" s="350">
        <v>454.34276974665073</v>
      </c>
    </row>
    <row r="129" spans="1:11" s="105" customFormat="1" ht="14">
      <c r="A129" s="239"/>
      <c r="B129" s="273" t="s">
        <v>109</v>
      </c>
      <c r="C129" s="362">
        <f t="shared" si="4"/>
        <v>18147.081543655804</v>
      </c>
      <c r="D129" s="350">
        <v>148.01331798314848</v>
      </c>
      <c r="E129" s="350">
        <v>1179.6488557500002</v>
      </c>
      <c r="F129" s="363">
        <f t="shared" si="5"/>
        <v>7263.8700875636314</v>
      </c>
      <c r="G129" s="350">
        <v>730.35536879539745</v>
      </c>
      <c r="H129" s="350">
        <v>6533.5147187682342</v>
      </c>
      <c r="I129" s="350">
        <v>5695.0982376952716</v>
      </c>
      <c r="J129" s="350">
        <v>3358.640651766053</v>
      </c>
      <c r="K129" s="350">
        <v>501.81039289769814</v>
      </c>
    </row>
    <row r="130" spans="1:11" s="105" customFormat="1" ht="14">
      <c r="A130" s="239"/>
      <c r="B130" s="273" t="s">
        <v>110</v>
      </c>
      <c r="C130" s="362">
        <f t="shared" si="4"/>
        <v>18567.196090593381</v>
      </c>
      <c r="D130" s="350">
        <v>167.79548049395098</v>
      </c>
      <c r="E130" s="350">
        <v>1636.9092645399999</v>
      </c>
      <c r="F130" s="363">
        <f t="shared" si="5"/>
        <v>7154.1401599351839</v>
      </c>
      <c r="G130" s="350">
        <v>709.79029897407042</v>
      </c>
      <c r="H130" s="350">
        <v>6444.3498609611133</v>
      </c>
      <c r="I130" s="350">
        <v>5807.6105869874536</v>
      </c>
      <c r="J130" s="350">
        <v>3350.1554138771421</v>
      </c>
      <c r="K130" s="350">
        <v>450.58518475964996</v>
      </c>
    </row>
    <row r="131" spans="1:11" s="105" customFormat="1" ht="14">
      <c r="A131" s="239"/>
      <c r="B131" s="273" t="s">
        <v>117</v>
      </c>
      <c r="C131" s="362">
        <f t="shared" si="4"/>
        <v>18437.262946743449</v>
      </c>
      <c r="D131" s="350">
        <v>158.562012236616</v>
      </c>
      <c r="E131" s="350">
        <v>1095.7933871</v>
      </c>
      <c r="F131" s="363">
        <f t="shared" si="5"/>
        <v>7552.7787534851268</v>
      </c>
      <c r="G131" s="350">
        <v>704.3575528170395</v>
      </c>
      <c r="H131" s="350">
        <v>6848.4212006680873</v>
      </c>
      <c r="I131" s="350">
        <v>5832.1101150866634</v>
      </c>
      <c r="J131" s="350">
        <v>3342.8519015120537</v>
      </c>
      <c r="K131" s="350">
        <v>455.16677732299007</v>
      </c>
    </row>
    <row r="132" spans="1:11" s="105" customFormat="1" ht="14">
      <c r="A132" s="239"/>
      <c r="B132" s="273" t="s">
        <v>112</v>
      </c>
      <c r="C132" s="362">
        <f t="shared" si="4"/>
        <v>18480.431125600247</v>
      </c>
      <c r="D132" s="350">
        <v>173.26356870373226</v>
      </c>
      <c r="E132" s="350">
        <v>1555.02021924</v>
      </c>
      <c r="F132" s="363">
        <f t="shared" si="5"/>
        <v>7111.3045091222975</v>
      </c>
      <c r="G132" s="350">
        <v>705.19914195495119</v>
      </c>
      <c r="H132" s="350">
        <v>6406.1053671673462</v>
      </c>
      <c r="I132" s="350">
        <v>5713.3435732696908</v>
      </c>
      <c r="J132" s="350">
        <v>3432.4258171578599</v>
      </c>
      <c r="K132" s="350">
        <v>495.07343810667015</v>
      </c>
    </row>
    <row r="133" spans="1:11" s="105" customFormat="1" ht="14">
      <c r="A133" s="239"/>
      <c r="B133" s="273" t="s">
        <v>113</v>
      </c>
      <c r="C133" s="362">
        <f t="shared" si="4"/>
        <v>19213.344900016909</v>
      </c>
      <c r="D133" s="350">
        <v>150.1595182217383</v>
      </c>
      <c r="E133" s="350">
        <v>1844.5920325299996</v>
      </c>
      <c r="F133" s="363">
        <f t="shared" si="5"/>
        <v>7526.3513637730284</v>
      </c>
      <c r="G133" s="350">
        <v>725.57879860126059</v>
      </c>
      <c r="H133" s="350">
        <v>6800.7725651717683</v>
      </c>
      <c r="I133" s="350">
        <v>5833.8165435148003</v>
      </c>
      <c r="J133" s="350">
        <v>3375.845337955383</v>
      </c>
      <c r="K133" s="350">
        <v>482.58010402196044</v>
      </c>
    </row>
    <row r="134" spans="1:11" s="105" customFormat="1" ht="14">
      <c r="A134" s="239"/>
      <c r="B134" s="273" t="s">
        <v>114</v>
      </c>
      <c r="C134" s="362">
        <f t="shared" si="4"/>
        <v>18469.723329957345</v>
      </c>
      <c r="D134" s="350">
        <v>158.0872319422279</v>
      </c>
      <c r="E134" s="350">
        <v>1388.8377665499997</v>
      </c>
      <c r="F134" s="363">
        <f t="shared" si="5"/>
        <v>7047.3185964376426</v>
      </c>
      <c r="G134" s="350">
        <v>712.20350338278695</v>
      </c>
      <c r="H134" s="350">
        <v>6335.1150930548556</v>
      </c>
      <c r="I134" s="350">
        <v>6015.2419314226609</v>
      </c>
      <c r="J134" s="350">
        <v>3404.5975967945246</v>
      </c>
      <c r="K134" s="350">
        <v>455.64020681028904</v>
      </c>
    </row>
    <row r="135" spans="1:11" s="105" customFormat="1" ht="14">
      <c r="A135" s="239"/>
      <c r="B135" s="273" t="s">
        <v>115</v>
      </c>
      <c r="C135" s="362">
        <f t="shared" si="4"/>
        <v>18393.823442096676</v>
      </c>
      <c r="D135" s="350">
        <v>163.4730680057439</v>
      </c>
      <c r="E135" s="350">
        <v>1414.35916107</v>
      </c>
      <c r="F135" s="363">
        <f t="shared" si="5"/>
        <v>7062.3691326893804</v>
      </c>
      <c r="G135" s="350">
        <v>720.77244060469377</v>
      </c>
      <c r="H135" s="350">
        <v>6341.5966920846868</v>
      </c>
      <c r="I135" s="350">
        <v>5919.2813538701757</v>
      </c>
      <c r="J135" s="350">
        <v>3395.1350220603244</v>
      </c>
      <c r="K135" s="350">
        <v>439.20570440105024</v>
      </c>
    </row>
    <row r="136" spans="1:11" s="105" customFormat="1" ht="14">
      <c r="A136" s="240"/>
      <c r="B136" s="274" t="s">
        <v>116</v>
      </c>
      <c r="C136" s="368">
        <f t="shared" si="4"/>
        <v>19361.894222362065</v>
      </c>
      <c r="D136" s="356">
        <v>181.78212452922307</v>
      </c>
      <c r="E136" s="356">
        <v>2519.1641979000001</v>
      </c>
      <c r="F136" s="359">
        <f t="shared" si="5"/>
        <v>6787.4520589663643</v>
      </c>
      <c r="G136" s="356">
        <v>741.85135676154232</v>
      </c>
      <c r="H136" s="356">
        <v>6045.6007022048216</v>
      </c>
      <c r="I136" s="356">
        <v>5951.3138740746854</v>
      </c>
      <c r="J136" s="356">
        <v>3477.1468001213416</v>
      </c>
      <c r="K136" s="356">
        <v>445.03516677044854</v>
      </c>
    </row>
    <row r="137" spans="1:11" s="105" customFormat="1" ht="14">
      <c r="A137" s="238">
        <v>2022</v>
      </c>
      <c r="B137" s="272" t="s">
        <v>105</v>
      </c>
      <c r="C137" s="344">
        <f t="shared" si="4"/>
        <v>19152.550549877986</v>
      </c>
      <c r="D137" s="344">
        <v>168.80148724087312</v>
      </c>
      <c r="E137" s="344">
        <v>1179.3021497699997</v>
      </c>
      <c r="F137" s="366">
        <f t="shared" si="5"/>
        <v>7653.1956894820387</v>
      </c>
      <c r="G137" s="344">
        <v>658.96521545267967</v>
      </c>
      <c r="H137" s="344">
        <v>6994.2304740293594</v>
      </c>
      <c r="I137" s="344">
        <v>5997.8390217828264</v>
      </c>
      <c r="J137" s="344">
        <v>3668.3751021327266</v>
      </c>
      <c r="K137" s="344">
        <v>485.03709946952284</v>
      </c>
    </row>
    <row r="138" spans="1:11" s="105" customFormat="1" ht="14">
      <c r="A138" s="239"/>
      <c r="B138" s="273" t="s">
        <v>106</v>
      </c>
      <c r="C138" s="350">
        <f t="shared" si="4"/>
        <v>18674.831919966004</v>
      </c>
      <c r="D138" s="350">
        <v>157.50153604573632</v>
      </c>
      <c r="E138" s="350">
        <v>1281.0801308299999</v>
      </c>
      <c r="F138" s="363">
        <f t="shared" si="5"/>
        <v>6932.6934467798037</v>
      </c>
      <c r="G138" s="350">
        <v>612.32346415773395</v>
      </c>
      <c r="H138" s="350">
        <v>6320.36998262207</v>
      </c>
      <c r="I138" s="350">
        <v>6018.4985225925984</v>
      </c>
      <c r="J138" s="350">
        <v>3796.9136600586421</v>
      </c>
      <c r="K138" s="350">
        <v>488.14462365922327</v>
      </c>
    </row>
    <row r="139" spans="1:11" s="105" customFormat="1" ht="14">
      <c r="A139" s="239"/>
      <c r="B139" s="273" t="s">
        <v>107</v>
      </c>
      <c r="C139" s="350">
        <f t="shared" si="4"/>
        <v>19767.178142817182</v>
      </c>
      <c r="D139" s="350">
        <v>174.37623630905151</v>
      </c>
      <c r="E139" s="350">
        <v>2361.9271807</v>
      </c>
      <c r="F139" s="363">
        <f t="shared" si="5"/>
        <v>6864.9766138747036</v>
      </c>
      <c r="G139" s="350">
        <v>618.73672505670561</v>
      </c>
      <c r="H139" s="350">
        <v>6246.2398888179978</v>
      </c>
      <c r="I139" s="350">
        <v>6058.4520917577838</v>
      </c>
      <c r="J139" s="350">
        <v>3854.570936243917</v>
      </c>
      <c r="K139" s="350">
        <v>452.87508393172817</v>
      </c>
    </row>
    <row r="140" spans="1:11" s="105" customFormat="1" ht="14">
      <c r="A140" s="239"/>
      <c r="B140" s="273" t="s">
        <v>108</v>
      </c>
      <c r="C140" s="350">
        <f t="shared" si="4"/>
        <v>19038.795637342504</v>
      </c>
      <c r="D140" s="350">
        <v>158.664632934351</v>
      </c>
      <c r="E140" s="350">
        <v>1281.5635740280295</v>
      </c>
      <c r="F140" s="363">
        <f t="shared" si="5"/>
        <v>7608.5153874134558</v>
      </c>
      <c r="G140" s="350">
        <v>619.07455824959425</v>
      </c>
      <c r="H140" s="350">
        <v>6989.4408291638611</v>
      </c>
      <c r="I140" s="350">
        <v>5738.3444157830563</v>
      </c>
      <c r="J140" s="350">
        <v>3750.3843125411727</v>
      </c>
      <c r="K140" s="350">
        <v>501.32331464243993</v>
      </c>
    </row>
    <row r="141" spans="1:11" s="105" customFormat="1" ht="14">
      <c r="A141" s="239"/>
      <c r="B141" s="273" t="s">
        <v>109</v>
      </c>
      <c r="C141" s="350">
        <f t="shared" si="4"/>
        <v>19186.379762813587</v>
      </c>
      <c r="D141" s="350">
        <v>166.3377438409849</v>
      </c>
      <c r="E141" s="350">
        <v>1187.1380042700002</v>
      </c>
      <c r="F141" s="363">
        <f t="shared" si="5"/>
        <v>7347.7096770013404</v>
      </c>
      <c r="G141" s="350">
        <v>615.87585344639979</v>
      </c>
      <c r="H141" s="350">
        <v>6731.8338235549409</v>
      </c>
      <c r="I141" s="350">
        <v>6201.6668546031515</v>
      </c>
      <c r="J141" s="350">
        <v>3743.2671843622265</v>
      </c>
      <c r="K141" s="350">
        <v>540.26029873588539</v>
      </c>
    </row>
    <row r="142" spans="1:11" s="105" customFormat="1" ht="14">
      <c r="A142" s="239"/>
      <c r="B142" s="273" t="s">
        <v>110</v>
      </c>
      <c r="C142" s="350">
        <f t="shared" si="4"/>
        <v>20267.4058924534</v>
      </c>
      <c r="D142" s="350">
        <v>159.59884988140107</v>
      </c>
      <c r="E142" s="350">
        <v>2641.94375777</v>
      </c>
      <c r="F142" s="363">
        <f t="shared" si="5"/>
        <v>6972.5561815863402</v>
      </c>
      <c r="G142" s="350">
        <v>617.93401846707138</v>
      </c>
      <c r="H142" s="350">
        <v>6354.6221631192684</v>
      </c>
      <c r="I142" s="350">
        <v>6140.3962744071387</v>
      </c>
      <c r="J142" s="350">
        <v>3781.3412290799729</v>
      </c>
      <c r="K142" s="350">
        <v>571.56959972854759</v>
      </c>
    </row>
    <row r="143" spans="1:11" s="105" customFormat="1" ht="14">
      <c r="A143" s="239"/>
      <c r="B143" s="273" t="s">
        <v>117</v>
      </c>
      <c r="C143" s="350">
        <f t="shared" si="4"/>
        <v>20042.35961096234</v>
      </c>
      <c r="D143" s="350">
        <v>153.62219298092251</v>
      </c>
      <c r="E143" s="350">
        <v>1147.4602471199998</v>
      </c>
      <c r="F143" s="363">
        <f t="shared" si="5"/>
        <v>7846.5689932993573</v>
      </c>
      <c r="G143" s="350">
        <v>634.29292599490282</v>
      </c>
      <c r="H143" s="350">
        <v>7212.276067304454</v>
      </c>
      <c r="I143" s="350">
        <v>6240.5826300189938</v>
      </c>
      <c r="J143" s="350">
        <v>4055.6616867390694</v>
      </c>
      <c r="K143" s="350">
        <v>598.46386080399532</v>
      </c>
    </row>
    <row r="144" spans="1:11" s="105" customFormat="1" ht="14">
      <c r="A144" s="239"/>
      <c r="B144" s="273" t="s">
        <v>112</v>
      </c>
      <c r="C144" s="350">
        <f t="shared" si="4"/>
        <v>19360.532887423251</v>
      </c>
      <c r="D144" s="350">
        <v>165.54505814820101</v>
      </c>
      <c r="E144" s="350">
        <v>1227.9886286800001</v>
      </c>
      <c r="F144" s="363">
        <f t="shared" si="5"/>
        <v>7072.3663406341675</v>
      </c>
      <c r="G144" s="350">
        <v>656.26539268984357</v>
      </c>
      <c r="H144" s="350">
        <v>6416.1009479443237</v>
      </c>
      <c r="I144" s="350">
        <v>6276.9744909901619</v>
      </c>
      <c r="J144" s="350">
        <v>4076.2218566987203</v>
      </c>
      <c r="K144" s="350">
        <v>541.4365122719995</v>
      </c>
    </row>
    <row r="145" spans="1:11" s="105" customFormat="1" ht="14">
      <c r="A145" s="239"/>
      <c r="B145" s="273" t="s">
        <v>113</v>
      </c>
      <c r="C145" s="350">
        <f t="shared" si="4"/>
        <v>20817.777692234995</v>
      </c>
      <c r="D145" s="350">
        <v>143.19575895313761</v>
      </c>
      <c r="E145" s="350">
        <v>2628.1371975661386</v>
      </c>
      <c r="F145" s="363">
        <f t="shared" si="5"/>
        <v>6969.1272676330454</v>
      </c>
      <c r="G145" s="350">
        <v>644.67706023618393</v>
      </c>
      <c r="H145" s="350">
        <v>6324.4502073968615</v>
      </c>
      <c r="I145" s="350">
        <v>6338.5426744256056</v>
      </c>
      <c r="J145" s="350">
        <v>4082.4914163342455</v>
      </c>
      <c r="K145" s="350">
        <v>656.28337732282193</v>
      </c>
    </row>
    <row r="146" spans="1:11" s="105" customFormat="1" ht="14">
      <c r="A146" s="239"/>
      <c r="B146" s="273" t="s">
        <v>114</v>
      </c>
      <c r="C146" s="350">
        <f t="shared" si="4"/>
        <v>19950.629488250099</v>
      </c>
      <c r="D146" s="350">
        <v>149.30479573965161</v>
      </c>
      <c r="E146" s="350">
        <v>1203.3013578999999</v>
      </c>
      <c r="F146" s="363">
        <f t="shared" si="5"/>
        <v>7578.9265508565941</v>
      </c>
      <c r="G146" s="350">
        <v>597.28506062841905</v>
      </c>
      <c r="H146" s="350">
        <v>6981.6414902281749</v>
      </c>
      <c r="I146" s="350">
        <v>6261.4275578276047</v>
      </c>
      <c r="J146" s="350">
        <v>4153.2182678512445</v>
      </c>
      <c r="K146" s="350">
        <v>604.45095807500559</v>
      </c>
    </row>
    <row r="147" spans="1:11" s="105" customFormat="1" ht="14">
      <c r="A147" s="239"/>
      <c r="B147" s="273" t="s">
        <v>115</v>
      </c>
      <c r="C147" s="350">
        <f t="shared" si="4"/>
        <v>19335.324762786204</v>
      </c>
      <c r="D147" s="350">
        <v>145.7207430310045</v>
      </c>
      <c r="E147" s="350">
        <v>1250.4798652699997</v>
      </c>
      <c r="F147" s="363">
        <f t="shared" si="5"/>
        <v>6988.0330642908502</v>
      </c>
      <c r="G147" s="350">
        <v>560.88214718880249</v>
      </c>
      <c r="H147" s="350">
        <v>6427.150917102048</v>
      </c>
      <c r="I147" s="350">
        <v>6104.0377977963863</v>
      </c>
      <c r="J147" s="350">
        <v>4193.2531033403957</v>
      </c>
      <c r="K147" s="350">
        <v>653.80018905756413</v>
      </c>
    </row>
    <row r="148" spans="1:11" s="105" customFormat="1" ht="14">
      <c r="A148" s="240"/>
      <c r="B148" s="274" t="s">
        <v>116</v>
      </c>
      <c r="C148" s="356">
        <f t="shared" si="4"/>
        <v>20681.291078598257</v>
      </c>
      <c r="D148" s="356">
        <v>173.0720622269954</v>
      </c>
      <c r="E148" s="356">
        <v>2589.7476195107142</v>
      </c>
      <c r="F148" s="359">
        <f t="shared" si="5"/>
        <v>6790.0224862768537</v>
      </c>
      <c r="G148" s="356">
        <v>541.81983454186445</v>
      </c>
      <c r="H148" s="356">
        <v>6248.2026517349896</v>
      </c>
      <c r="I148" s="356">
        <v>6266.235947806701</v>
      </c>
      <c r="J148" s="356">
        <v>4059.170504091484</v>
      </c>
      <c r="K148" s="356">
        <v>803.04245868550629</v>
      </c>
    </row>
    <row r="149" spans="1:11" s="105" customFormat="1" ht="14">
      <c r="A149" s="238">
        <v>2023</v>
      </c>
      <c r="B149" s="272" t="s">
        <v>105</v>
      </c>
      <c r="C149" s="344">
        <f t="shared" si="4"/>
        <v>20015.793300443089</v>
      </c>
      <c r="D149" s="344">
        <v>171.36613344579382</v>
      </c>
      <c r="E149" s="344">
        <v>1321.6257986200001</v>
      </c>
      <c r="F149" s="366">
        <f t="shared" si="5"/>
        <v>7839.4974738895089</v>
      </c>
      <c r="G149" s="344">
        <v>522.93264269748965</v>
      </c>
      <c r="H149" s="344">
        <v>7316.5648311920195</v>
      </c>
      <c r="I149" s="344">
        <v>6186.2331219062362</v>
      </c>
      <c r="J149" s="344">
        <v>3744.8693654574645</v>
      </c>
      <c r="K149" s="344">
        <v>752.20140712408534</v>
      </c>
    </row>
    <row r="150" spans="1:11" s="105" customFormat="1" ht="14">
      <c r="A150" s="239"/>
      <c r="B150" s="273" t="s">
        <v>106</v>
      </c>
      <c r="C150" s="350">
        <f t="shared" si="4"/>
        <v>19828.93433330351</v>
      </c>
      <c r="D150" s="350">
        <v>153.9575554301081</v>
      </c>
      <c r="E150" s="350">
        <v>1252.58507837</v>
      </c>
      <c r="F150" s="363">
        <f t="shared" si="5"/>
        <v>7518.1626758386828</v>
      </c>
      <c r="G150" s="350">
        <v>516.55392092071156</v>
      </c>
      <c r="H150" s="350">
        <v>7001.6087549179711</v>
      </c>
      <c r="I150" s="350">
        <v>6182.0473699016447</v>
      </c>
      <c r="J150" s="350">
        <v>3924.945189611014</v>
      </c>
      <c r="K150" s="350">
        <v>797.23646415205974</v>
      </c>
    </row>
    <row r="151" spans="1:11" s="105" customFormat="1" ht="14">
      <c r="A151" s="239"/>
      <c r="B151" s="273" t="s">
        <v>107</v>
      </c>
      <c r="C151" s="350">
        <f t="shared" si="4"/>
        <v>20013.292257396544</v>
      </c>
      <c r="D151" s="350">
        <v>159.4088743171005</v>
      </c>
      <c r="E151" s="350">
        <v>1548.9343264936144</v>
      </c>
      <c r="F151" s="363">
        <f t="shared" si="5"/>
        <v>7435.8001193237114</v>
      </c>
      <c r="G151" s="350">
        <v>514.80785223799012</v>
      </c>
      <c r="H151" s="350">
        <v>6920.9922670857213</v>
      </c>
      <c r="I151" s="350">
        <v>6204.189487997508</v>
      </c>
      <c r="J151" s="350">
        <v>3954.8837671077563</v>
      </c>
      <c r="K151" s="350">
        <v>710.07568215685455</v>
      </c>
    </row>
    <row r="152" spans="1:11" s="105" customFormat="1" ht="14">
      <c r="A152" s="239"/>
      <c r="B152" s="273" t="s">
        <v>108</v>
      </c>
      <c r="C152" s="350">
        <f t="shared" si="4"/>
        <v>19287.353458159327</v>
      </c>
      <c r="D152" s="350">
        <v>184.7653626158845</v>
      </c>
      <c r="E152" s="350">
        <v>1212.0275790899998</v>
      </c>
      <c r="F152" s="363">
        <f t="shared" si="5"/>
        <v>7106.682850974712</v>
      </c>
      <c r="G152" s="350">
        <v>512.08144000470838</v>
      </c>
      <c r="H152" s="350">
        <v>6594.6014109700036</v>
      </c>
      <c r="I152" s="350">
        <v>6362.5467177037153</v>
      </c>
      <c r="J152" s="350">
        <v>3913.9920742335175</v>
      </c>
      <c r="K152" s="350">
        <v>507.33887354150062</v>
      </c>
    </row>
    <row r="153" spans="1:11" s="105" customFormat="1" ht="14">
      <c r="A153" s="239"/>
      <c r="B153" s="273" t="s">
        <v>109</v>
      </c>
      <c r="C153" s="350">
        <f>D153+E153+F153+I153+J153+K153</f>
        <v>19275.725292005121</v>
      </c>
      <c r="D153" s="350">
        <v>149.2357658320079</v>
      </c>
      <c r="E153" s="350">
        <v>1215.26141454</v>
      </c>
      <c r="F153" s="363">
        <f>G153+H153</f>
        <v>6807.9464082955537</v>
      </c>
      <c r="G153" s="350">
        <v>552.28949573976081</v>
      </c>
      <c r="H153" s="350">
        <v>6255.6569125557926</v>
      </c>
      <c r="I153" s="350">
        <v>6404.9170404401839</v>
      </c>
      <c r="J153" s="350">
        <v>4097.5892963592487</v>
      </c>
      <c r="K153" s="350">
        <v>600.77536653812763</v>
      </c>
    </row>
    <row r="154" spans="1:11" s="105" customFormat="1" ht="14">
      <c r="A154" s="239"/>
      <c r="B154" s="273" t="s">
        <v>110</v>
      </c>
      <c r="C154" s="350">
        <f>D154+E154+F154+I154+J154+K154</f>
        <v>19859.062660123796</v>
      </c>
      <c r="D154" s="350">
        <v>149.37782539606658</v>
      </c>
      <c r="E154" s="350">
        <v>1572.6146954299998</v>
      </c>
      <c r="F154" s="363">
        <f>G154+H154</f>
        <v>6934.3477293810192</v>
      </c>
      <c r="G154" s="350">
        <v>586.43077979968996</v>
      </c>
      <c r="H154" s="350">
        <v>6347.9169495813294</v>
      </c>
      <c r="I154" s="350">
        <v>6533.468316840208</v>
      </c>
      <c r="J154" s="350">
        <v>3907.549405489629</v>
      </c>
      <c r="K154" s="350">
        <v>761.70468758687446</v>
      </c>
    </row>
    <row r="155" spans="1:11" s="105" customFormat="1" ht="14">
      <c r="A155" s="239"/>
      <c r="B155" s="273" t="s">
        <v>117</v>
      </c>
      <c r="C155" s="350">
        <f t="shared" ref="C155:C187" si="6">D155+E155+F155+I155+J155+K155</f>
        <v>19416.85469687506</v>
      </c>
      <c r="D155" s="350">
        <v>162.55924909450749</v>
      </c>
      <c r="E155" s="350">
        <v>1149.4131599499999</v>
      </c>
      <c r="F155" s="363">
        <f t="shared" ref="F155:F187" si="7">G155+H155</f>
        <v>7048.1812577094897</v>
      </c>
      <c r="G155" s="350">
        <v>678.20923205314261</v>
      </c>
      <c r="H155" s="350">
        <v>6369.9720256563469</v>
      </c>
      <c r="I155" s="350">
        <v>6496.8888945586477</v>
      </c>
      <c r="J155" s="350">
        <v>3908.1964545274336</v>
      </c>
      <c r="K155" s="350">
        <v>651.61568103498371</v>
      </c>
    </row>
    <row r="156" spans="1:11" s="105" customFormat="1" ht="14">
      <c r="A156" s="239"/>
      <c r="B156" s="273" t="s">
        <v>112</v>
      </c>
      <c r="C156" s="350">
        <f t="shared" si="6"/>
        <v>19217.887772226481</v>
      </c>
      <c r="D156" s="350">
        <v>170.63368190014401</v>
      </c>
      <c r="E156" s="350">
        <v>1136.91770946</v>
      </c>
      <c r="F156" s="363">
        <f t="shared" si="7"/>
        <v>6654.9424272869019</v>
      </c>
      <c r="G156" s="350">
        <v>728.06669350570962</v>
      </c>
      <c r="H156" s="350">
        <v>5926.8757337811921</v>
      </c>
      <c r="I156" s="350">
        <v>6732.700219700253</v>
      </c>
      <c r="J156" s="350">
        <v>3895.98945141984</v>
      </c>
      <c r="K156" s="350">
        <v>626.70428245934113</v>
      </c>
    </row>
    <row r="157" spans="1:11" s="105" customFormat="1" ht="14">
      <c r="A157" s="239"/>
      <c r="B157" s="273" t="s">
        <v>113</v>
      </c>
      <c r="C157" s="350">
        <f t="shared" si="6"/>
        <v>19427.821642966232</v>
      </c>
      <c r="D157" s="350">
        <v>143.82107777834889</v>
      </c>
      <c r="E157" s="350">
        <v>1266.4272922508521</v>
      </c>
      <c r="F157" s="363">
        <f t="shared" si="7"/>
        <v>6675.6514576880099</v>
      </c>
      <c r="G157" s="350">
        <v>723.94404800622601</v>
      </c>
      <c r="H157" s="350">
        <v>5951.7074096817842</v>
      </c>
      <c r="I157" s="350">
        <v>6758.391371102608</v>
      </c>
      <c r="J157" s="350">
        <v>3934.9810436973571</v>
      </c>
      <c r="K157" s="350">
        <v>648.54940044905572</v>
      </c>
    </row>
    <row r="158" spans="1:11" s="105" customFormat="1" ht="14">
      <c r="A158" s="239"/>
      <c r="B158" s="273" t="s">
        <v>114</v>
      </c>
      <c r="C158" s="350">
        <f t="shared" si="6"/>
        <v>19303.629804837223</v>
      </c>
      <c r="D158" s="350">
        <v>168.38379656899781</v>
      </c>
      <c r="E158" s="350">
        <v>1095.1801576100002</v>
      </c>
      <c r="F158" s="363">
        <f t="shared" si="7"/>
        <v>6659.2692690840158</v>
      </c>
      <c r="G158" s="350">
        <v>714.28730101603139</v>
      </c>
      <c r="H158" s="350">
        <v>5944.9819680679848</v>
      </c>
      <c r="I158" s="350">
        <v>6705.3789758123758</v>
      </c>
      <c r="J158" s="350">
        <v>3944.0399079564663</v>
      </c>
      <c r="K158" s="350">
        <v>731.3776978053686</v>
      </c>
    </row>
    <row r="159" spans="1:11" s="105" customFormat="1" ht="14">
      <c r="A159" s="239"/>
      <c r="B159" s="273" t="s">
        <v>115</v>
      </c>
      <c r="C159" s="350">
        <f t="shared" si="6"/>
        <v>19283.949172072142</v>
      </c>
      <c r="D159" s="350">
        <v>152.6657497633264</v>
      </c>
      <c r="E159" s="350">
        <v>1106.8573175399999</v>
      </c>
      <c r="F159" s="363">
        <f t="shared" si="7"/>
        <v>6342.5568908126561</v>
      </c>
      <c r="G159" s="350">
        <v>818.37803804663417</v>
      </c>
      <c r="H159" s="350">
        <v>5524.1788527660219</v>
      </c>
      <c r="I159" s="350">
        <v>6879.833689494496</v>
      </c>
      <c r="J159" s="350">
        <v>4012.8447299911345</v>
      </c>
      <c r="K159" s="350">
        <v>789.1907944705282</v>
      </c>
    </row>
    <row r="160" spans="1:11" s="105" customFormat="1" ht="14">
      <c r="A160" s="240"/>
      <c r="B160" s="274" t="s">
        <v>116</v>
      </c>
      <c r="C160" s="356">
        <f t="shared" si="6"/>
        <v>19811.265941179663</v>
      </c>
      <c r="D160" s="356">
        <v>161.09196121535186</v>
      </c>
      <c r="E160" s="356">
        <v>1534.8916382140364</v>
      </c>
      <c r="F160" s="359">
        <f t="shared" si="7"/>
        <v>6527.63905539198</v>
      </c>
      <c r="G160" s="356">
        <v>872.82986650166072</v>
      </c>
      <c r="H160" s="356">
        <v>5654.8091888903191</v>
      </c>
      <c r="I160" s="356">
        <v>7001.2142986754734</v>
      </c>
      <c r="J160" s="356">
        <v>3918.8491664576513</v>
      </c>
      <c r="K160" s="356">
        <v>667.57982122516796</v>
      </c>
    </row>
    <row r="161" spans="1:11" s="105" customFormat="1" ht="14">
      <c r="A161" s="238">
        <v>2024</v>
      </c>
      <c r="B161" s="272" t="s">
        <v>105</v>
      </c>
      <c r="C161" s="344">
        <f t="shared" si="6"/>
        <v>19881.190450290436</v>
      </c>
      <c r="D161" s="344">
        <v>160.23290407471649</v>
      </c>
      <c r="E161" s="344">
        <v>1143.86836146</v>
      </c>
      <c r="F161" s="366">
        <f t="shared" si="7"/>
        <v>6574.8496636092068</v>
      </c>
      <c r="G161" s="344">
        <v>878.0731712805881</v>
      </c>
      <c r="H161" s="344">
        <v>5696.7764923286186</v>
      </c>
      <c r="I161" s="344">
        <v>7156.6441775903659</v>
      </c>
      <c r="J161" s="344">
        <v>4042.4547791545947</v>
      </c>
      <c r="K161" s="344">
        <v>803.14056440155059</v>
      </c>
    </row>
    <row r="162" spans="1:11" s="105" customFormat="1" ht="14">
      <c r="A162" s="239"/>
      <c r="B162" s="273" t="s">
        <v>106</v>
      </c>
      <c r="C162" s="350">
        <f t="shared" si="6"/>
        <v>19658.947189320748</v>
      </c>
      <c r="D162" s="350">
        <v>155.52301196549558</v>
      </c>
      <c r="E162" s="350">
        <v>1154.8418761899998</v>
      </c>
      <c r="F162" s="363">
        <f t="shared" si="7"/>
        <v>6215.5395925567</v>
      </c>
      <c r="G162" s="350">
        <v>877.5857384044715</v>
      </c>
      <c r="H162" s="350">
        <v>5337.9538541522288</v>
      </c>
      <c r="I162" s="350">
        <v>7101.6045418777594</v>
      </c>
      <c r="J162" s="350">
        <v>4157.7679320942407</v>
      </c>
      <c r="K162" s="350">
        <v>873.67023463655448</v>
      </c>
    </row>
    <row r="163" spans="1:11" s="105" customFormat="1" ht="14">
      <c r="A163" s="239"/>
      <c r="B163" s="273" t="s">
        <v>107</v>
      </c>
      <c r="C163" s="350">
        <f t="shared" si="6"/>
        <v>20440.378158065741</v>
      </c>
      <c r="D163" s="350">
        <v>150.813884567375</v>
      </c>
      <c r="E163" s="350">
        <v>1463.5630535999999</v>
      </c>
      <c r="F163" s="363">
        <f t="shared" si="7"/>
        <v>6697.3733368774938</v>
      </c>
      <c r="G163" s="350">
        <v>871.31912408655944</v>
      </c>
      <c r="H163" s="350">
        <v>5826.0542127909348</v>
      </c>
      <c r="I163" s="350">
        <v>7098.4601147364165</v>
      </c>
      <c r="J163" s="350">
        <v>4126.7077464352724</v>
      </c>
      <c r="K163" s="350">
        <v>903.46002184918302</v>
      </c>
    </row>
    <row r="164" spans="1:11" s="105" customFormat="1" ht="14">
      <c r="A164" s="239"/>
      <c r="B164" s="273" t="s">
        <v>108</v>
      </c>
      <c r="C164" s="350">
        <f t="shared" si="6"/>
        <v>19948.961486587275</v>
      </c>
      <c r="D164" s="350">
        <v>154.66747106319499</v>
      </c>
      <c r="E164" s="350">
        <v>1156.1298183200001</v>
      </c>
      <c r="F164" s="363">
        <f t="shared" si="7"/>
        <v>6567.9257136652441</v>
      </c>
      <c r="G164" s="350">
        <v>877.52113407355125</v>
      </c>
      <c r="H164" s="350">
        <v>5690.4045795916927</v>
      </c>
      <c r="I164" s="350">
        <v>7288.2289160660139</v>
      </c>
      <c r="J164" s="350">
        <v>4122.6395452334782</v>
      </c>
      <c r="K164" s="350">
        <v>659.37002223934167</v>
      </c>
    </row>
    <row r="165" spans="1:11" s="105" customFormat="1" ht="14">
      <c r="A165" s="239"/>
      <c r="B165" s="273" t="s">
        <v>109</v>
      </c>
      <c r="C165" s="350">
        <f t="shared" si="6"/>
        <v>19787.662404007489</v>
      </c>
      <c r="D165" s="350">
        <v>148.44658561019989</v>
      </c>
      <c r="E165" s="350">
        <v>1116.9262409200001</v>
      </c>
      <c r="F165" s="363">
        <f t="shared" si="7"/>
        <v>6322.0259884038151</v>
      </c>
      <c r="G165" s="350">
        <v>890.95112633821418</v>
      </c>
      <c r="H165" s="350">
        <v>5431.0748620656013</v>
      </c>
      <c r="I165" s="350">
        <v>7187.9757976009832</v>
      </c>
      <c r="J165" s="350">
        <v>4191.3269150268497</v>
      </c>
      <c r="K165" s="350">
        <v>820.96087644564238</v>
      </c>
    </row>
    <row r="166" spans="1:11" s="105" customFormat="1" ht="14">
      <c r="A166" s="239"/>
      <c r="B166" s="273" t="s">
        <v>110</v>
      </c>
      <c r="C166" s="350">
        <f t="shared" si="6"/>
        <v>20178.611807870151</v>
      </c>
      <c r="D166" s="350">
        <v>132.27645153745502</v>
      </c>
      <c r="E166" s="350">
        <v>1148.94606987</v>
      </c>
      <c r="F166" s="363">
        <f t="shared" si="7"/>
        <v>6468.1559549706653</v>
      </c>
      <c r="G166" s="350">
        <v>884.24682917210725</v>
      </c>
      <c r="H166" s="350">
        <v>5583.9091257985583</v>
      </c>
      <c r="I166" s="350">
        <v>7352.4685872030459</v>
      </c>
      <c r="J166" s="350">
        <v>4133.3406717607322</v>
      </c>
      <c r="K166" s="350">
        <v>943.42407252825456</v>
      </c>
    </row>
    <row r="167" spans="1:11" s="105" customFormat="1" ht="14">
      <c r="A167" s="239"/>
      <c r="B167" s="273" t="s">
        <v>117</v>
      </c>
      <c r="C167" s="350">
        <f t="shared" si="6"/>
        <v>19839.323088308323</v>
      </c>
      <c r="D167" s="350">
        <v>155.97552808915998</v>
      </c>
      <c r="E167" s="350">
        <v>1025.1516047500002</v>
      </c>
      <c r="F167" s="363">
        <f t="shared" si="7"/>
        <v>6158.9057580978069</v>
      </c>
      <c r="G167" s="350">
        <v>910.73619499742813</v>
      </c>
      <c r="H167" s="350">
        <v>5248.1695631003786</v>
      </c>
      <c r="I167" s="350">
        <v>7352.2770972452099</v>
      </c>
      <c r="J167" s="350">
        <v>4348.0256500810719</v>
      </c>
      <c r="K167" s="350">
        <v>798.9874500450743</v>
      </c>
    </row>
    <row r="168" spans="1:11" s="105" customFormat="1" ht="14">
      <c r="A168" s="239"/>
      <c r="B168" s="273" t="s">
        <v>112</v>
      </c>
      <c r="C168" s="350">
        <f t="shared" si="6"/>
        <v>19509.068891189396</v>
      </c>
      <c r="D168" s="350">
        <v>152.15632492487993</v>
      </c>
      <c r="E168" s="350">
        <v>1040.5359820499998</v>
      </c>
      <c r="F168" s="363">
        <f t="shared" si="7"/>
        <v>6075.2642749593379</v>
      </c>
      <c r="G168" s="350">
        <v>885.56816833234939</v>
      </c>
      <c r="H168" s="350">
        <v>5189.6961066269887</v>
      </c>
      <c r="I168" s="350">
        <v>7241.4404444965294</v>
      </c>
      <c r="J168" s="350">
        <v>4181.955901541779</v>
      </c>
      <c r="K168" s="350">
        <v>817.71596321686923</v>
      </c>
    </row>
    <row r="169" spans="1:11" s="105" customFormat="1" ht="14">
      <c r="A169" s="239"/>
      <c r="B169" s="273" t="s">
        <v>113</v>
      </c>
      <c r="C169" s="350">
        <f t="shared" si="6"/>
        <v>20044.049943463808</v>
      </c>
      <c r="D169" s="350">
        <v>151.82550838136001</v>
      </c>
      <c r="E169" s="350">
        <v>1076.4359930699998</v>
      </c>
      <c r="F169" s="363">
        <f t="shared" si="7"/>
        <v>6399.3840327181242</v>
      </c>
      <c r="G169" s="350">
        <v>981.21833558273227</v>
      </c>
      <c r="H169" s="350">
        <v>5418.1656971353923</v>
      </c>
      <c r="I169" s="350">
        <v>7336.3271937555373</v>
      </c>
      <c r="J169" s="350">
        <v>4203.7658794562221</v>
      </c>
      <c r="K169" s="350">
        <v>876.31133608256152</v>
      </c>
    </row>
    <row r="170" spans="1:11" s="105" customFormat="1" ht="14">
      <c r="A170" s="239"/>
      <c r="B170" s="273" t="s">
        <v>114</v>
      </c>
      <c r="C170" s="350">
        <f t="shared" si="6"/>
        <v>20130.137457382796</v>
      </c>
      <c r="D170" s="350">
        <v>152.98571093566989</v>
      </c>
      <c r="E170" s="350">
        <v>1037.4351358399999</v>
      </c>
      <c r="F170" s="363">
        <f t="shared" si="7"/>
        <v>6490.8114282555152</v>
      </c>
      <c r="G170" s="350">
        <v>969.66956205631982</v>
      </c>
      <c r="H170" s="350">
        <v>5521.1418661991956</v>
      </c>
      <c r="I170" s="350">
        <v>7355.4914777832009</v>
      </c>
      <c r="J170" s="350">
        <v>4216.4123753123804</v>
      </c>
      <c r="K170" s="350">
        <v>877.00132925602736</v>
      </c>
    </row>
    <row r="171" spans="1:11" s="105" customFormat="1" ht="14">
      <c r="A171" s="239"/>
      <c r="B171" s="273" t="s">
        <v>115</v>
      </c>
      <c r="C171" s="350">
        <f t="shared" si="6"/>
        <v>19762.659947462485</v>
      </c>
      <c r="D171" s="350">
        <v>143.67248901998011</v>
      </c>
      <c r="E171" s="350">
        <v>1041.9787370700001</v>
      </c>
      <c r="F171" s="363">
        <f t="shared" si="7"/>
        <v>6367.0587234355053</v>
      </c>
      <c r="G171" s="350">
        <v>965.94621666319551</v>
      </c>
      <c r="H171" s="350">
        <v>5401.1125067723096</v>
      </c>
      <c r="I171" s="350">
        <v>7275.2221749398177</v>
      </c>
      <c r="J171" s="350">
        <v>4132.8577018893511</v>
      </c>
      <c r="K171" s="350">
        <v>801.87012110782939</v>
      </c>
    </row>
    <row r="172" spans="1:11" s="105" customFormat="1" ht="14">
      <c r="A172" s="240"/>
      <c r="B172" s="274" t="s">
        <v>116</v>
      </c>
      <c r="C172" s="356">
        <f t="shared" si="6"/>
        <v>20874.182723876726</v>
      </c>
      <c r="D172" s="356">
        <v>173.225798079155</v>
      </c>
      <c r="E172" s="356">
        <v>1104.0639317900002</v>
      </c>
      <c r="F172" s="359">
        <f t="shared" si="7"/>
        <v>6935.2448356351806</v>
      </c>
      <c r="G172" s="356">
        <v>1016.8268504192334</v>
      </c>
      <c r="H172" s="356">
        <v>5918.4179852159468</v>
      </c>
      <c r="I172" s="356">
        <v>7561.0888416433763</v>
      </c>
      <c r="J172" s="356">
        <v>4227.1667015014827</v>
      </c>
      <c r="K172" s="356">
        <v>873.39261522752929</v>
      </c>
    </row>
    <row r="173" spans="1:11" s="105" customFormat="1" ht="14">
      <c r="A173" s="238">
        <v>2025</v>
      </c>
      <c r="B173" s="272" t="s">
        <v>105</v>
      </c>
      <c r="C173" s="344">
        <f t="shared" si="6"/>
        <v>20140.944083589584</v>
      </c>
      <c r="D173" s="344">
        <v>186.13668716678504</v>
      </c>
      <c r="E173" s="344">
        <v>1073.11825767</v>
      </c>
      <c r="F173" s="366">
        <f t="shared" si="7"/>
        <v>6255.4662966078777</v>
      </c>
      <c r="G173" s="344">
        <v>987.59529005854267</v>
      </c>
      <c r="H173" s="344">
        <v>5267.8710065493351</v>
      </c>
      <c r="I173" s="344">
        <v>7603.8451640176318</v>
      </c>
      <c r="J173" s="344">
        <v>4220.4150322997793</v>
      </c>
      <c r="K173" s="344">
        <v>801.96264582751303</v>
      </c>
    </row>
    <row r="174" spans="1:11" s="105" customFormat="1" ht="14">
      <c r="A174" s="239"/>
      <c r="B174" s="273" t="s">
        <v>106</v>
      </c>
      <c r="C174" s="350">
        <f t="shared" si="6"/>
        <v>20494.961677041782</v>
      </c>
      <c r="D174" s="350">
        <v>155.89843489096461</v>
      </c>
      <c r="E174" s="350">
        <v>1004.95587775</v>
      </c>
      <c r="F174" s="363">
        <f t="shared" si="7"/>
        <v>6717.7092698766364</v>
      </c>
      <c r="G174" s="350">
        <v>978.73080076805911</v>
      </c>
      <c r="H174" s="350">
        <v>5738.978469108577</v>
      </c>
      <c r="I174" s="350">
        <v>7611.7902848274089</v>
      </c>
      <c r="J174" s="350">
        <v>4120.3587747760412</v>
      </c>
      <c r="K174" s="350">
        <v>884.24903492073327</v>
      </c>
    </row>
    <row r="175" spans="1:11" s="105" customFormat="1" ht="14">
      <c r="A175" s="239"/>
      <c r="B175" s="273" t="s">
        <v>107</v>
      </c>
      <c r="C175" s="350">
        <f t="shared" si="6"/>
        <v>20819.683481188782</v>
      </c>
      <c r="D175" s="350">
        <v>147.2231924333901</v>
      </c>
      <c r="E175" s="350">
        <v>1652.2934249399998</v>
      </c>
      <c r="F175" s="363">
        <f t="shared" si="7"/>
        <v>6272.2721177773228</v>
      </c>
      <c r="G175" s="350">
        <v>944.73497812220955</v>
      </c>
      <c r="H175" s="350">
        <v>5327.5371396551136</v>
      </c>
      <c r="I175" s="350">
        <v>7719.6516477063278</v>
      </c>
      <c r="J175" s="350">
        <v>4169.4599371551094</v>
      </c>
      <c r="K175" s="350">
        <v>858.78316117663439</v>
      </c>
    </row>
    <row r="176" spans="1:11" s="105" customFormat="1" ht="14">
      <c r="A176" s="239"/>
      <c r="B176" s="273" t="s">
        <v>108</v>
      </c>
      <c r="C176" s="350">
        <f t="shared" si="6"/>
        <v>20472.938382900942</v>
      </c>
      <c r="D176" s="350">
        <v>159.02633269757973</v>
      </c>
      <c r="E176" s="350">
        <v>919.05698800999994</v>
      </c>
      <c r="F176" s="363">
        <f t="shared" si="7"/>
        <v>6422.5226927125059</v>
      </c>
      <c r="G176" s="350">
        <v>940.15213402868153</v>
      </c>
      <c r="H176" s="350">
        <v>5482.3705586838241</v>
      </c>
      <c r="I176" s="350">
        <v>7781.3705614651635</v>
      </c>
      <c r="J176" s="350">
        <v>4463.60892904305</v>
      </c>
      <c r="K176" s="350">
        <v>727.35287897264527</v>
      </c>
    </row>
    <row r="177" spans="1:11" s="105" customFormat="1" ht="14">
      <c r="A177" s="239"/>
      <c r="B177" s="273" t="s">
        <v>109</v>
      </c>
      <c r="C177" s="350">
        <f t="shared" si="6"/>
        <v>20080.79265804547</v>
      </c>
      <c r="D177" s="350">
        <v>146.02994310264992</v>
      </c>
      <c r="E177" s="350">
        <v>912.54778998999984</v>
      </c>
      <c r="F177" s="363">
        <f t="shared" si="7"/>
        <v>6140.5829674766019</v>
      </c>
      <c r="G177" s="350">
        <v>951.52201120243535</v>
      </c>
      <c r="H177" s="350">
        <v>5189.0609562741665</v>
      </c>
      <c r="I177" s="350">
        <v>7814.206350405615</v>
      </c>
      <c r="J177" s="350">
        <v>4255.440605492644</v>
      </c>
      <c r="K177" s="350">
        <v>811.98500157796013</v>
      </c>
    </row>
    <row r="178" spans="1:11" s="105" customFormat="1" ht="14">
      <c r="A178" s="239"/>
      <c r="B178" s="273" t="s">
        <v>110</v>
      </c>
      <c r="C178" s="350">
        <f t="shared" si="6"/>
        <v>20264.91310847229</v>
      </c>
      <c r="D178" s="350">
        <v>139.76305728899999</v>
      </c>
      <c r="E178" s="350">
        <v>928.54718483999989</v>
      </c>
      <c r="F178" s="363">
        <f t="shared" si="7"/>
        <v>6256.9240813671558</v>
      </c>
      <c r="G178" s="350">
        <v>1039.5133172731576</v>
      </c>
      <c r="H178" s="350">
        <v>5217.4107640939983</v>
      </c>
      <c r="I178" s="350">
        <v>7977.1358862088173</v>
      </c>
      <c r="J178" s="350">
        <v>4158.6580164506495</v>
      </c>
      <c r="K178" s="350">
        <v>803.88488231666975</v>
      </c>
    </row>
    <row r="179" spans="1:11" s="105" customFormat="1" ht="14">
      <c r="A179" s="239"/>
      <c r="B179" s="273" t="s">
        <v>117</v>
      </c>
      <c r="C179" s="350">
        <f t="shared" si="6"/>
        <v>20373.213601080977</v>
      </c>
      <c r="D179" s="350">
        <v>159.22195995592028</v>
      </c>
      <c r="E179" s="350">
        <v>1188.8168238999999</v>
      </c>
      <c r="F179" s="363">
        <f t="shared" si="7"/>
        <v>5998.3691732451853</v>
      </c>
      <c r="G179" s="350">
        <v>1051.0636129123334</v>
      </c>
      <c r="H179" s="350">
        <v>4947.3055603328521</v>
      </c>
      <c r="I179" s="350">
        <v>8104.3318405289438</v>
      </c>
      <c r="J179" s="350">
        <v>4229.3262320818139</v>
      </c>
      <c r="K179" s="350">
        <v>693.14757136911328</v>
      </c>
    </row>
    <row r="180" spans="1:11" s="105" customFormat="1" ht="14">
      <c r="A180" s="239"/>
      <c r="B180" s="273" t="s">
        <v>112</v>
      </c>
      <c r="C180" s="350">
        <f t="shared" si="6"/>
        <v>20848.031791152654</v>
      </c>
      <c r="D180" s="350">
        <v>150.65466990934982</v>
      </c>
      <c r="E180" s="350">
        <v>895.90144501999998</v>
      </c>
      <c r="F180" s="363">
        <f t="shared" si="7"/>
        <v>6895.3355771453171</v>
      </c>
      <c r="G180" s="350">
        <v>1051.979295532074</v>
      </c>
      <c r="H180" s="350">
        <v>5843.3562816132426</v>
      </c>
      <c r="I180" s="350">
        <v>8052.6571969525967</v>
      </c>
      <c r="J180" s="350">
        <v>4192.0126684359848</v>
      </c>
      <c r="K180" s="350">
        <v>661.47023368940279</v>
      </c>
    </row>
    <row r="181" spans="1:11" s="105" customFormat="1" ht="14">
      <c r="A181" s="239"/>
      <c r="B181" s="273" t="s">
        <v>113</v>
      </c>
      <c r="C181" s="350">
        <f t="shared" si="6"/>
        <v>21151.025182408663</v>
      </c>
      <c r="D181" s="350">
        <v>153.78214377609004</v>
      </c>
      <c r="E181" s="350">
        <v>1123.52699261</v>
      </c>
      <c r="F181" s="363">
        <f t="shared" si="7"/>
        <v>6573.6024828511681</v>
      </c>
      <c r="G181" s="350">
        <v>1074.7264325564486</v>
      </c>
      <c r="H181" s="350">
        <v>5498.8760502947198</v>
      </c>
      <c r="I181" s="350">
        <v>8204.0429939676887</v>
      </c>
      <c r="J181" s="350">
        <v>4256.5252511464359</v>
      </c>
      <c r="K181" s="350">
        <v>839.54531805728186</v>
      </c>
    </row>
    <row r="182" spans="1:11" s="105" customFormat="1" ht="14">
      <c r="A182" s="239"/>
      <c r="B182" s="273" t="s">
        <v>114</v>
      </c>
      <c r="C182" s="350">
        <f t="shared" si="6"/>
        <v>20919.898620081716</v>
      </c>
      <c r="D182" s="350">
        <v>167.02561984534017</v>
      </c>
      <c r="E182" s="350">
        <v>883.36459082999988</v>
      </c>
      <c r="F182" s="363">
        <f t="shared" si="7"/>
        <v>6424.4391874406756</v>
      </c>
      <c r="G182" s="350">
        <v>1108.1264614394079</v>
      </c>
      <c r="H182" s="350">
        <v>5316.3127260012679</v>
      </c>
      <c r="I182" s="350">
        <v>8174.9099073125753</v>
      </c>
      <c r="J182" s="350">
        <v>4392.5090456764137</v>
      </c>
      <c r="K182" s="350">
        <v>877.65026897670941</v>
      </c>
    </row>
    <row r="183" spans="1:11" s="105" customFormat="1" ht="14">
      <c r="A183" s="239"/>
      <c r="B183" s="273" t="s">
        <v>115</v>
      </c>
      <c r="C183" s="350">
        <f t="shared" si="6"/>
        <v>21181.728559453964</v>
      </c>
      <c r="D183" s="350">
        <v>137.98638140118999</v>
      </c>
      <c r="E183" s="350">
        <v>952.37880059999998</v>
      </c>
      <c r="F183" s="363">
        <f t="shared" si="7"/>
        <v>6700.5137877952257</v>
      </c>
      <c r="G183" s="350">
        <v>1097.2875717810598</v>
      </c>
      <c r="H183" s="350">
        <v>5603.2262160141663</v>
      </c>
      <c r="I183" s="350">
        <v>8179.4732187226991</v>
      </c>
      <c r="J183" s="350">
        <v>4397.7374530935067</v>
      </c>
      <c r="K183" s="350">
        <v>813.63891784134307</v>
      </c>
    </row>
    <row r="184" spans="1:11" s="105" customFormat="1" ht="14">
      <c r="A184" s="240"/>
      <c r="B184" s="274" t="s">
        <v>116</v>
      </c>
      <c r="C184" s="356">
        <f t="shared" si="6"/>
        <v>21318.083199412107</v>
      </c>
      <c r="D184" s="356">
        <v>171.95525831117499</v>
      </c>
      <c r="E184" s="356">
        <v>1549.3325194280201</v>
      </c>
      <c r="F184" s="359">
        <f t="shared" si="7"/>
        <v>5926.9125404954593</v>
      </c>
      <c r="G184" s="356">
        <v>1097.18036856753</v>
      </c>
      <c r="H184" s="356">
        <v>4829.7321719279298</v>
      </c>
      <c r="I184" s="356">
        <v>8487.6574307092105</v>
      </c>
      <c r="J184" s="356">
        <v>4415.4665233757396</v>
      </c>
      <c r="K184" s="356">
        <v>766.75892709250195</v>
      </c>
    </row>
    <row r="185" spans="1:11" s="105" customFormat="1" ht="14">
      <c r="A185" s="238">
        <v>2026</v>
      </c>
      <c r="B185" s="272" t="s">
        <v>105</v>
      </c>
      <c r="C185" s="344">
        <f t="shared" si="6"/>
        <v>21567.974188633547</v>
      </c>
      <c r="D185" s="344">
        <v>161.28464948531519</v>
      </c>
      <c r="E185" s="344">
        <v>994.93974055000012</v>
      </c>
      <c r="F185" s="366">
        <f t="shared" si="7"/>
        <v>6624.7325314035515</v>
      </c>
      <c r="G185" s="344">
        <v>1094.9133593014931</v>
      </c>
      <c r="H185" s="344">
        <v>5529.8191721020585</v>
      </c>
      <c r="I185" s="344">
        <v>8404.0685899283744</v>
      </c>
      <c r="J185" s="344">
        <v>4611.4460387875433</v>
      </c>
      <c r="K185" s="344">
        <v>771.5026384787634</v>
      </c>
    </row>
    <row r="186" spans="1:11" s="105" customFormat="1" ht="14">
      <c r="A186" s="239"/>
      <c r="B186" s="273" t="s">
        <v>106</v>
      </c>
      <c r="C186" s="350">
        <f t="shared" si="6"/>
        <v>21253.215108122371</v>
      </c>
      <c r="D186" s="350">
        <v>164.9858369518052</v>
      </c>
      <c r="E186" s="350">
        <v>1075.0619845389483</v>
      </c>
      <c r="F186" s="363">
        <f t="shared" si="7"/>
        <v>6320.7311970302217</v>
      </c>
      <c r="G186" s="350">
        <v>1091.0348528350846</v>
      </c>
      <c r="H186" s="350">
        <v>5229.6963441951366</v>
      </c>
      <c r="I186" s="350">
        <v>8473.3446165066962</v>
      </c>
      <c r="J186" s="350">
        <v>4474.5017662423697</v>
      </c>
      <c r="K186" s="350">
        <v>744.58970685232998</v>
      </c>
    </row>
    <row r="187" spans="1:11" s="105" customFormat="1" ht="14">
      <c r="A187" s="240"/>
      <c r="B187" s="274" t="s">
        <v>107</v>
      </c>
      <c r="C187" s="356">
        <f t="shared" si="6"/>
        <v>21024.118071214205</v>
      </c>
      <c r="D187" s="356">
        <v>198.13794243741978</v>
      </c>
      <c r="E187" s="356">
        <v>1030.2376415700001</v>
      </c>
      <c r="F187" s="359">
        <f t="shared" si="7"/>
        <v>5678.9192646955935</v>
      </c>
      <c r="G187" s="356">
        <v>1098.3257401863266</v>
      </c>
      <c r="H187" s="356">
        <v>4580.5935245092669</v>
      </c>
      <c r="I187" s="356">
        <v>8594.3122314408556</v>
      </c>
      <c r="J187" s="356">
        <v>4565.0528711688348</v>
      </c>
      <c r="K187" s="356">
        <v>957.45811990150105</v>
      </c>
    </row>
    <row r="189" spans="1:11">
      <c r="A189" s="171" t="s">
        <v>195</v>
      </c>
      <c r="B189" s="160"/>
      <c r="C189" s="160"/>
      <c r="D189" s="160"/>
      <c r="E189" s="160"/>
    </row>
    <row r="190" spans="1:11">
      <c r="A190" s="161"/>
      <c r="B190" s="160"/>
      <c r="C190" s="176"/>
      <c r="D190" s="176"/>
      <c r="E190" s="176"/>
      <c r="F190" s="74"/>
      <c r="G190" s="74"/>
      <c r="H190" s="74"/>
      <c r="I190" s="74"/>
      <c r="J190" s="74"/>
      <c r="K190" s="74"/>
    </row>
    <row r="191" spans="1:11">
      <c r="A191" s="161" t="s">
        <v>119</v>
      </c>
      <c r="B191" s="160"/>
      <c r="C191" s="177"/>
      <c r="D191" s="177"/>
      <c r="E191" s="177"/>
      <c r="F191" s="173"/>
      <c r="G191" s="173"/>
      <c r="H191" s="173"/>
      <c r="I191" s="173"/>
      <c r="J191" s="173"/>
      <c r="K191" s="173"/>
    </row>
    <row r="192" spans="1:11">
      <c r="A192" s="161" t="s">
        <v>120</v>
      </c>
      <c r="B192" s="160"/>
      <c r="C192" s="177"/>
      <c r="D192" s="177"/>
      <c r="E192" s="177"/>
      <c r="F192" s="173"/>
      <c r="G192" s="173"/>
      <c r="H192" s="173"/>
      <c r="I192" s="173"/>
      <c r="J192" s="173"/>
      <c r="K192" s="173"/>
    </row>
    <row r="193" spans="1:11">
      <c r="A193" s="168" t="s">
        <v>168</v>
      </c>
      <c r="B193" s="105"/>
      <c r="C193" s="175"/>
      <c r="D193" s="175"/>
      <c r="E193" s="175"/>
      <c r="F193" s="173"/>
      <c r="G193" s="173"/>
      <c r="H193" s="173"/>
      <c r="I193" s="173"/>
      <c r="J193" s="173"/>
      <c r="K193" s="173"/>
    </row>
    <row r="194" spans="1:11">
      <c r="C194" s="174"/>
      <c r="D194" s="174"/>
      <c r="E194" s="174"/>
      <c r="F194" s="174"/>
      <c r="G194" s="174"/>
      <c r="H194" s="174"/>
      <c r="I194" s="174"/>
      <c r="J194" s="174"/>
      <c r="K194" s="174"/>
    </row>
    <row r="195" spans="1:11">
      <c r="C195" s="174"/>
      <c r="D195" s="174"/>
      <c r="E195" s="174"/>
      <c r="F195" s="174"/>
      <c r="G195" s="174"/>
      <c r="H195" s="174"/>
      <c r="I195" s="174"/>
      <c r="J195" s="174"/>
      <c r="K195" s="174"/>
    </row>
    <row r="196" spans="1:11">
      <c r="C196" s="174"/>
      <c r="D196" s="174"/>
      <c r="E196" s="174"/>
      <c r="G196" s="174"/>
      <c r="H196" s="174"/>
      <c r="I196" s="174"/>
      <c r="J196" s="174"/>
      <c r="K196" s="174"/>
    </row>
  </sheetData>
  <sheetProtection sheet="1" formatCells="0" insertColumns="0" insertRows="0" deleteColumns="0" deleteRows="0"/>
  <mergeCells count="10">
    <mergeCell ref="A1:I1"/>
    <mergeCell ref="A2:K2"/>
    <mergeCell ref="A3:B4"/>
    <mergeCell ref="D3:D4"/>
    <mergeCell ref="E3:E4"/>
    <mergeCell ref="K3:K4"/>
    <mergeCell ref="I3:I4"/>
    <mergeCell ref="F3:H3"/>
    <mergeCell ref="J3:J4"/>
    <mergeCell ref="C3:C4"/>
  </mergeCells>
  <printOptions horizontalCentered="1"/>
  <pageMargins left="0.7" right="0.7" top="0.75" bottom="0.75" header="0.3" footer="0.3"/>
  <pageSetup paperSize="9" orientation="landscape" r:id="rId1"/>
  <ignoredErrors>
    <ignoredError sqref="C113:C115 F113:F115"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93"/>
  <sheetViews>
    <sheetView zoomScaleNormal="100" workbookViewId="0">
      <pane xSplit="2" ySplit="4" topLeftCell="C177" activePane="bottomRight" state="frozen"/>
      <selection pane="topRight" activeCell="G153" sqref="G153"/>
      <selection pane="bottomLeft" activeCell="G153" sqref="G153"/>
      <selection pane="bottomRight" activeCell="F189" sqref="F189"/>
    </sheetView>
  </sheetViews>
  <sheetFormatPr defaultColWidth="9.1796875" defaultRowHeight="13"/>
  <cols>
    <col min="1" max="1" width="7.36328125" style="65" customWidth="1"/>
    <col min="2" max="2" width="8.1796875" style="65" customWidth="1"/>
    <col min="3" max="12" width="13.1796875" style="65" customWidth="1"/>
    <col min="13" max="16384" width="9.1796875" style="65"/>
  </cols>
  <sheetData>
    <row r="1" spans="1:14" ht="15.5">
      <c r="A1" s="709" t="s">
        <v>196</v>
      </c>
      <c r="B1" s="709"/>
      <c r="C1" s="709"/>
      <c r="D1" s="709"/>
      <c r="E1" s="709"/>
      <c r="F1" s="709"/>
      <c r="G1" s="709"/>
      <c r="H1" s="709"/>
      <c r="I1" s="709"/>
      <c r="J1" s="709"/>
    </row>
    <row r="2" spans="1:14" ht="14">
      <c r="A2" s="760" t="s">
        <v>97</v>
      </c>
      <c r="B2" s="760"/>
      <c r="C2" s="760"/>
      <c r="D2" s="760"/>
      <c r="E2" s="760"/>
      <c r="F2" s="760"/>
      <c r="G2" s="760"/>
      <c r="H2" s="760"/>
      <c r="I2" s="760"/>
      <c r="J2" s="760"/>
      <c r="K2" s="760"/>
      <c r="L2" s="760"/>
    </row>
    <row r="3" spans="1:14" s="105" customFormat="1" ht="19.5" customHeight="1">
      <c r="A3" s="761" t="s">
        <v>98</v>
      </c>
      <c r="B3" s="761"/>
      <c r="C3" s="759" t="s">
        <v>197</v>
      </c>
      <c r="D3" s="774" t="s">
        <v>198</v>
      </c>
      <c r="E3" s="775"/>
      <c r="F3" s="776"/>
      <c r="G3" s="777"/>
      <c r="H3" s="778"/>
      <c r="I3" s="771" t="s">
        <v>199</v>
      </c>
      <c r="J3" s="772"/>
      <c r="K3" s="773"/>
      <c r="L3" s="753" t="s">
        <v>200</v>
      </c>
    </row>
    <row r="4" spans="1:14" s="105" customFormat="1" ht="60" customHeight="1">
      <c r="A4" s="721"/>
      <c r="B4" s="721"/>
      <c r="C4" s="769"/>
      <c r="D4" s="283" t="s">
        <v>102</v>
      </c>
      <c r="E4" s="376" t="s">
        <v>201</v>
      </c>
      <c r="F4" s="377" t="s">
        <v>202</v>
      </c>
      <c r="G4" s="375" t="s">
        <v>203</v>
      </c>
      <c r="H4" s="343" t="s">
        <v>204</v>
      </c>
      <c r="I4" s="280" t="s">
        <v>102</v>
      </c>
      <c r="J4" s="376" t="s">
        <v>193</v>
      </c>
      <c r="K4" s="277" t="s">
        <v>194</v>
      </c>
      <c r="L4" s="755"/>
    </row>
    <row r="5" spans="1:14" s="105" customFormat="1" ht="14">
      <c r="A5" s="238">
        <v>2011</v>
      </c>
      <c r="B5" s="247" t="s">
        <v>105</v>
      </c>
      <c r="C5" s="332">
        <f>D5+I5+L5</f>
        <v>16393.849999999999</v>
      </c>
      <c r="D5" s="327">
        <f>E5+F5+G5+H5</f>
        <v>13475.43</v>
      </c>
      <c r="E5" s="378">
        <v>3653.48</v>
      </c>
      <c r="F5" s="379">
        <v>3204.83</v>
      </c>
      <c r="G5" s="380">
        <v>6435.68</v>
      </c>
      <c r="H5" s="379">
        <v>181.44</v>
      </c>
      <c r="I5" s="381">
        <f>J5+K5</f>
        <v>807.48</v>
      </c>
      <c r="J5" s="379">
        <v>559.28</v>
      </c>
      <c r="K5" s="380">
        <v>248.2</v>
      </c>
      <c r="L5" s="379">
        <v>2110.94</v>
      </c>
      <c r="M5" s="104"/>
      <c r="N5" s="104"/>
    </row>
    <row r="6" spans="1:14" s="105" customFormat="1" ht="14">
      <c r="A6" s="239"/>
      <c r="B6" s="251" t="s">
        <v>106</v>
      </c>
      <c r="C6" s="327">
        <f>D6+I6+L6</f>
        <v>16117.65</v>
      </c>
      <c r="D6" s="327">
        <f>E6+F6+G6+H6</f>
        <v>13083.21</v>
      </c>
      <c r="E6" s="382">
        <v>3484.53</v>
      </c>
      <c r="F6" s="383">
        <v>3298.62</v>
      </c>
      <c r="G6" s="381">
        <v>6119.06</v>
      </c>
      <c r="H6" s="383">
        <v>181</v>
      </c>
      <c r="I6" s="381">
        <f>J6+K6</f>
        <v>900.34</v>
      </c>
      <c r="J6" s="383">
        <v>557.44000000000005</v>
      </c>
      <c r="K6" s="381">
        <v>342.9</v>
      </c>
      <c r="L6" s="383">
        <v>2134.1</v>
      </c>
      <c r="M6" s="104"/>
      <c r="N6" s="104"/>
    </row>
    <row r="7" spans="1:14" s="105" customFormat="1" ht="14">
      <c r="A7" s="239"/>
      <c r="B7" s="251" t="s">
        <v>107</v>
      </c>
      <c r="C7" s="327">
        <f t="shared" ref="C7:C70" si="0">D7+I7+L7</f>
        <v>17905.71</v>
      </c>
      <c r="D7" s="327">
        <f t="shared" ref="D7:D70" si="1">E7+F7+G7+H7</f>
        <v>14938.33</v>
      </c>
      <c r="E7" s="382">
        <v>4019.3</v>
      </c>
      <c r="F7" s="383">
        <v>3280.12</v>
      </c>
      <c r="G7" s="381">
        <v>7461.02</v>
      </c>
      <c r="H7" s="383">
        <v>177.89</v>
      </c>
      <c r="I7" s="381">
        <f t="shared" ref="I7:I70" si="2">J7+K7</f>
        <v>860.21</v>
      </c>
      <c r="J7" s="383">
        <v>648.78</v>
      </c>
      <c r="K7" s="381">
        <v>211.43</v>
      </c>
      <c r="L7" s="383">
        <v>2107.17</v>
      </c>
      <c r="M7" s="104"/>
      <c r="N7" s="104"/>
    </row>
    <row r="8" spans="1:14" s="105" customFormat="1" ht="14">
      <c r="A8" s="239"/>
      <c r="B8" s="251" t="s">
        <v>108</v>
      </c>
      <c r="C8" s="327">
        <f t="shared" si="0"/>
        <v>17582.829999999998</v>
      </c>
      <c r="D8" s="327">
        <f t="shared" si="1"/>
        <v>14644.21</v>
      </c>
      <c r="E8" s="382">
        <v>3767.91</v>
      </c>
      <c r="F8" s="383">
        <v>3270.65</v>
      </c>
      <c r="G8" s="381">
        <v>7433.23</v>
      </c>
      <c r="H8" s="383">
        <v>172.42</v>
      </c>
      <c r="I8" s="381">
        <f t="shared" si="2"/>
        <v>812.63</v>
      </c>
      <c r="J8" s="383">
        <v>597.5</v>
      </c>
      <c r="K8" s="381">
        <v>215.13</v>
      </c>
      <c r="L8" s="383">
        <v>2125.9899999999998</v>
      </c>
      <c r="M8" s="104"/>
      <c r="N8" s="104"/>
    </row>
    <row r="9" spans="1:14" s="105" customFormat="1" ht="14">
      <c r="A9" s="239"/>
      <c r="B9" s="251" t="s">
        <v>109</v>
      </c>
      <c r="C9" s="327">
        <f t="shared" si="0"/>
        <v>17092.14</v>
      </c>
      <c r="D9" s="327">
        <f t="shared" si="1"/>
        <v>14039.6</v>
      </c>
      <c r="E9" s="382">
        <v>3952.66</v>
      </c>
      <c r="F9" s="383">
        <v>3331.97</v>
      </c>
      <c r="G9" s="381">
        <v>6583.6</v>
      </c>
      <c r="H9" s="383">
        <v>171.37</v>
      </c>
      <c r="I9" s="381">
        <f t="shared" si="2"/>
        <v>915.29</v>
      </c>
      <c r="J9" s="383">
        <v>597.49</v>
      </c>
      <c r="K9" s="381">
        <v>317.8</v>
      </c>
      <c r="L9" s="383">
        <v>2137.25</v>
      </c>
      <c r="M9" s="104"/>
      <c r="N9" s="104"/>
    </row>
    <row r="10" spans="1:14" s="105" customFormat="1" ht="14">
      <c r="A10" s="239"/>
      <c r="B10" s="251" t="s">
        <v>110</v>
      </c>
      <c r="C10" s="327">
        <f t="shared" si="0"/>
        <v>18521.969999999998</v>
      </c>
      <c r="D10" s="327">
        <f t="shared" si="1"/>
        <v>15411.21</v>
      </c>
      <c r="E10" s="382">
        <v>3895.44</v>
      </c>
      <c r="F10" s="383">
        <v>3369.87</v>
      </c>
      <c r="G10" s="381">
        <v>7973.86</v>
      </c>
      <c r="H10" s="383">
        <v>172.04</v>
      </c>
      <c r="I10" s="381">
        <f t="shared" si="2"/>
        <v>959.89</v>
      </c>
      <c r="J10" s="383">
        <v>767.47</v>
      </c>
      <c r="K10" s="381">
        <v>192.42</v>
      </c>
      <c r="L10" s="383">
        <v>2150.87</v>
      </c>
      <c r="M10" s="104"/>
      <c r="N10" s="104"/>
    </row>
    <row r="11" spans="1:14" s="105" customFormat="1" ht="14">
      <c r="A11" s="239"/>
      <c r="B11" s="251" t="s">
        <v>111</v>
      </c>
      <c r="C11" s="327">
        <f t="shared" si="0"/>
        <v>17810.349999999999</v>
      </c>
      <c r="D11" s="327">
        <f t="shared" si="1"/>
        <v>15053.55</v>
      </c>
      <c r="E11" s="382">
        <v>3322.76</v>
      </c>
      <c r="F11" s="383">
        <v>3427.4</v>
      </c>
      <c r="G11" s="381">
        <v>8132.14</v>
      </c>
      <c r="H11" s="383">
        <v>171.25</v>
      </c>
      <c r="I11" s="381">
        <f t="shared" si="2"/>
        <v>626.99</v>
      </c>
      <c r="J11" s="383">
        <v>444.42</v>
      </c>
      <c r="K11" s="381">
        <v>182.57</v>
      </c>
      <c r="L11" s="383">
        <v>2129.81</v>
      </c>
      <c r="M11" s="104"/>
      <c r="N11" s="104"/>
    </row>
    <row r="12" spans="1:14" s="105" customFormat="1" ht="14">
      <c r="A12" s="239"/>
      <c r="B12" s="251" t="s">
        <v>112</v>
      </c>
      <c r="C12" s="327">
        <f t="shared" si="0"/>
        <v>17879.830000000002</v>
      </c>
      <c r="D12" s="327">
        <f t="shared" si="1"/>
        <v>14909.500000000002</v>
      </c>
      <c r="E12" s="382">
        <v>3401.81</v>
      </c>
      <c r="F12" s="383">
        <v>3459.62</v>
      </c>
      <c r="G12" s="381">
        <v>7878.47</v>
      </c>
      <c r="H12" s="383">
        <v>169.6</v>
      </c>
      <c r="I12" s="381">
        <f t="shared" si="2"/>
        <v>767.19</v>
      </c>
      <c r="J12" s="383">
        <v>536.01</v>
      </c>
      <c r="K12" s="381">
        <v>231.18</v>
      </c>
      <c r="L12" s="383">
        <v>2203.14</v>
      </c>
      <c r="M12" s="104"/>
      <c r="N12" s="104"/>
    </row>
    <row r="13" spans="1:14" s="105" customFormat="1" ht="14">
      <c r="A13" s="239"/>
      <c r="B13" s="251" t="s">
        <v>113</v>
      </c>
      <c r="C13" s="327">
        <f t="shared" si="0"/>
        <v>19624.07</v>
      </c>
      <c r="D13" s="327">
        <f t="shared" si="1"/>
        <v>16980.309999999998</v>
      </c>
      <c r="E13" s="382">
        <v>4498.84</v>
      </c>
      <c r="F13" s="383">
        <v>3475.76</v>
      </c>
      <c r="G13" s="381">
        <v>8835.4599999999991</v>
      </c>
      <c r="H13" s="383">
        <v>170.25</v>
      </c>
      <c r="I13" s="381">
        <f t="shared" si="2"/>
        <v>450.25</v>
      </c>
      <c r="J13" s="383">
        <v>313.10000000000002</v>
      </c>
      <c r="K13" s="381">
        <v>137.15</v>
      </c>
      <c r="L13" s="383">
        <v>2193.5100000000002</v>
      </c>
      <c r="M13" s="104"/>
      <c r="N13" s="104"/>
    </row>
    <row r="14" spans="1:14" s="105" customFormat="1" ht="14">
      <c r="A14" s="239"/>
      <c r="B14" s="251" t="s">
        <v>114</v>
      </c>
      <c r="C14" s="327">
        <f t="shared" si="0"/>
        <v>19821.36</v>
      </c>
      <c r="D14" s="327">
        <f t="shared" si="1"/>
        <v>17004.41</v>
      </c>
      <c r="E14" s="382">
        <v>4644.7700000000004</v>
      </c>
      <c r="F14" s="383">
        <v>3567.41</v>
      </c>
      <c r="G14" s="381">
        <v>8645.0300000000007</v>
      </c>
      <c r="H14" s="383">
        <v>147.19999999999999</v>
      </c>
      <c r="I14" s="381">
        <f t="shared" si="2"/>
        <v>618.70000000000005</v>
      </c>
      <c r="J14" s="383">
        <v>446.97</v>
      </c>
      <c r="K14" s="381">
        <v>171.73</v>
      </c>
      <c r="L14" s="383">
        <v>2198.25</v>
      </c>
      <c r="M14" s="104"/>
      <c r="N14" s="104"/>
    </row>
    <row r="15" spans="1:14" s="105" customFormat="1" ht="14">
      <c r="A15" s="239"/>
      <c r="B15" s="251" t="s">
        <v>115</v>
      </c>
      <c r="C15" s="327">
        <f t="shared" si="0"/>
        <v>19223.84</v>
      </c>
      <c r="D15" s="327">
        <f t="shared" si="1"/>
        <v>16573.55</v>
      </c>
      <c r="E15" s="382">
        <v>4521.7700000000004</v>
      </c>
      <c r="F15" s="383">
        <v>3615.91</v>
      </c>
      <c r="G15" s="381">
        <v>8258.36</v>
      </c>
      <c r="H15" s="383">
        <v>177.51</v>
      </c>
      <c r="I15" s="381">
        <f t="shared" si="2"/>
        <v>419.09000000000003</v>
      </c>
      <c r="J15" s="383">
        <v>262.51</v>
      </c>
      <c r="K15" s="381">
        <v>156.58000000000001</v>
      </c>
      <c r="L15" s="383">
        <v>2231.1999999999998</v>
      </c>
      <c r="M15" s="104"/>
      <c r="N15" s="104"/>
    </row>
    <row r="16" spans="1:14" s="105" customFormat="1" ht="14">
      <c r="A16" s="240"/>
      <c r="B16" s="252" t="s">
        <v>116</v>
      </c>
      <c r="C16" s="329">
        <f t="shared" si="0"/>
        <v>21166.839999999997</v>
      </c>
      <c r="D16" s="329">
        <f t="shared" si="1"/>
        <v>18354.289999999997</v>
      </c>
      <c r="E16" s="384">
        <v>6028.03</v>
      </c>
      <c r="F16" s="307">
        <v>3825.93</v>
      </c>
      <c r="G16" s="385">
        <v>8306.67</v>
      </c>
      <c r="H16" s="307">
        <v>193.66</v>
      </c>
      <c r="I16" s="307">
        <f t="shared" si="2"/>
        <v>575.76</v>
      </c>
      <c r="J16" s="307">
        <v>193.49</v>
      </c>
      <c r="K16" s="385">
        <v>382.27</v>
      </c>
      <c r="L16" s="307">
        <v>2236.79</v>
      </c>
      <c r="M16" s="104"/>
      <c r="N16" s="104"/>
    </row>
    <row r="17" spans="1:14" s="105" customFormat="1" ht="14">
      <c r="A17" s="239">
        <v>2012</v>
      </c>
      <c r="B17" s="273" t="s">
        <v>105</v>
      </c>
      <c r="C17" s="327">
        <f t="shared" si="0"/>
        <v>19690.360000000004</v>
      </c>
      <c r="D17" s="327">
        <f t="shared" si="1"/>
        <v>17041.510000000002</v>
      </c>
      <c r="E17" s="386">
        <v>5949.94</v>
      </c>
      <c r="F17" s="381">
        <v>3721.75</v>
      </c>
      <c r="G17" s="383">
        <v>7199.42</v>
      </c>
      <c r="H17" s="381">
        <v>170.4</v>
      </c>
      <c r="I17" s="379">
        <f t="shared" si="2"/>
        <v>417.7</v>
      </c>
      <c r="J17" s="381">
        <v>227.63</v>
      </c>
      <c r="K17" s="383">
        <v>190.07</v>
      </c>
      <c r="L17" s="387">
        <v>2231.15</v>
      </c>
      <c r="M17" s="104"/>
      <c r="N17" s="104"/>
    </row>
    <row r="18" spans="1:14" s="105" customFormat="1" ht="14">
      <c r="A18" s="239"/>
      <c r="B18" s="273" t="s">
        <v>106</v>
      </c>
      <c r="C18" s="327">
        <f t="shared" si="0"/>
        <v>18709.509999999998</v>
      </c>
      <c r="D18" s="327">
        <f t="shared" si="1"/>
        <v>16036.349999999999</v>
      </c>
      <c r="E18" s="386">
        <v>4017.33</v>
      </c>
      <c r="F18" s="381">
        <v>3735.99</v>
      </c>
      <c r="G18" s="383">
        <v>8113.73</v>
      </c>
      <c r="H18" s="381">
        <v>169.3</v>
      </c>
      <c r="I18" s="383">
        <f t="shared" si="2"/>
        <v>379.62</v>
      </c>
      <c r="J18" s="381">
        <v>174.76</v>
      </c>
      <c r="K18" s="383">
        <v>204.86</v>
      </c>
      <c r="L18" s="387">
        <v>2293.54</v>
      </c>
      <c r="M18" s="104"/>
      <c r="N18" s="104"/>
    </row>
    <row r="19" spans="1:14" s="105" customFormat="1" ht="14">
      <c r="A19" s="239"/>
      <c r="B19" s="273" t="s">
        <v>107</v>
      </c>
      <c r="C19" s="327">
        <f t="shared" si="0"/>
        <v>20724.84</v>
      </c>
      <c r="D19" s="327">
        <f t="shared" si="1"/>
        <v>17753.419999999998</v>
      </c>
      <c r="E19" s="386">
        <v>5669.11</v>
      </c>
      <c r="F19" s="381">
        <v>3648.94</v>
      </c>
      <c r="G19" s="383">
        <v>8263.2199999999993</v>
      </c>
      <c r="H19" s="381">
        <v>172.15</v>
      </c>
      <c r="I19" s="383">
        <f t="shared" si="2"/>
        <v>692.61</v>
      </c>
      <c r="J19" s="381">
        <v>507.85</v>
      </c>
      <c r="K19" s="383">
        <v>184.76</v>
      </c>
      <c r="L19" s="387">
        <v>2278.81</v>
      </c>
      <c r="M19" s="104"/>
      <c r="N19" s="104"/>
    </row>
    <row r="20" spans="1:14" s="105" customFormat="1" ht="14">
      <c r="A20" s="239"/>
      <c r="B20" s="273" t="s">
        <v>108</v>
      </c>
      <c r="C20" s="327">
        <f t="shared" si="0"/>
        <v>18912.309999999998</v>
      </c>
      <c r="D20" s="327">
        <f t="shared" si="1"/>
        <v>16146.5</v>
      </c>
      <c r="E20" s="386">
        <v>5289.78</v>
      </c>
      <c r="F20" s="381">
        <v>3815.07</v>
      </c>
      <c r="G20" s="383">
        <v>6866.08</v>
      </c>
      <c r="H20" s="381">
        <v>175.57</v>
      </c>
      <c r="I20" s="383">
        <f t="shared" si="2"/>
        <v>505.46</v>
      </c>
      <c r="J20" s="381">
        <v>352.02</v>
      </c>
      <c r="K20" s="383">
        <v>153.44</v>
      </c>
      <c r="L20" s="387">
        <v>2260.35</v>
      </c>
      <c r="M20" s="104"/>
      <c r="N20" s="104"/>
    </row>
    <row r="21" spans="1:14" s="105" customFormat="1" ht="14">
      <c r="A21" s="239"/>
      <c r="B21" s="273" t="s">
        <v>109</v>
      </c>
      <c r="C21" s="327">
        <f t="shared" si="0"/>
        <v>18105.11</v>
      </c>
      <c r="D21" s="327">
        <f t="shared" si="1"/>
        <v>15309.24</v>
      </c>
      <c r="E21" s="386">
        <v>4174.54</v>
      </c>
      <c r="F21" s="381">
        <v>3945.55</v>
      </c>
      <c r="G21" s="383">
        <v>7012.52</v>
      </c>
      <c r="H21" s="381">
        <v>176.63</v>
      </c>
      <c r="I21" s="383">
        <f t="shared" si="2"/>
        <v>502.37</v>
      </c>
      <c r="J21" s="381">
        <v>251.09</v>
      </c>
      <c r="K21" s="383">
        <v>251.28</v>
      </c>
      <c r="L21" s="387">
        <v>2293.5</v>
      </c>
      <c r="M21" s="104"/>
      <c r="N21" s="104"/>
    </row>
    <row r="22" spans="1:14" s="105" customFormat="1" ht="14">
      <c r="A22" s="239"/>
      <c r="B22" s="273" t="s">
        <v>110</v>
      </c>
      <c r="C22" s="327">
        <f t="shared" si="0"/>
        <v>20104.759999999995</v>
      </c>
      <c r="D22" s="327">
        <f t="shared" si="1"/>
        <v>17025.159999999996</v>
      </c>
      <c r="E22" s="386">
        <v>4703.95</v>
      </c>
      <c r="F22" s="381">
        <v>3864.89</v>
      </c>
      <c r="G22" s="383">
        <v>8284.9699999999993</v>
      </c>
      <c r="H22" s="381">
        <v>171.35</v>
      </c>
      <c r="I22" s="383">
        <f t="shared" si="2"/>
        <v>762.12</v>
      </c>
      <c r="J22" s="381">
        <v>617.87</v>
      </c>
      <c r="K22" s="383">
        <v>144.25</v>
      </c>
      <c r="L22" s="387">
        <v>2317.48</v>
      </c>
      <c r="M22" s="104"/>
      <c r="N22" s="104"/>
    </row>
    <row r="23" spans="1:14" s="105" customFormat="1" ht="14">
      <c r="A23" s="239"/>
      <c r="B23" s="273" t="s">
        <v>111</v>
      </c>
      <c r="C23" s="327">
        <f t="shared" si="0"/>
        <v>19101.09</v>
      </c>
      <c r="D23" s="327">
        <f t="shared" si="1"/>
        <v>16233.36</v>
      </c>
      <c r="E23" s="386">
        <v>4518.49</v>
      </c>
      <c r="F23" s="381">
        <v>3885.72</v>
      </c>
      <c r="G23" s="383">
        <v>7649.11</v>
      </c>
      <c r="H23" s="381">
        <v>180.04</v>
      </c>
      <c r="I23" s="383">
        <f t="shared" si="2"/>
        <v>630.34</v>
      </c>
      <c r="J23" s="381">
        <v>468.23</v>
      </c>
      <c r="K23" s="383">
        <v>162.11000000000001</v>
      </c>
      <c r="L23" s="387">
        <v>2237.39</v>
      </c>
      <c r="M23" s="104"/>
      <c r="N23" s="104"/>
    </row>
    <row r="24" spans="1:14" s="105" customFormat="1" ht="14">
      <c r="A24" s="239"/>
      <c r="B24" s="273" t="s">
        <v>112</v>
      </c>
      <c r="C24" s="327">
        <f t="shared" si="0"/>
        <v>18331.88</v>
      </c>
      <c r="D24" s="327">
        <f t="shared" si="1"/>
        <v>15483.91</v>
      </c>
      <c r="E24" s="386">
        <v>4350.4799999999996</v>
      </c>
      <c r="F24" s="381">
        <v>3718.62</v>
      </c>
      <c r="G24" s="383">
        <v>7234.78</v>
      </c>
      <c r="H24" s="381">
        <v>180.03</v>
      </c>
      <c r="I24" s="383">
        <f t="shared" si="2"/>
        <v>555.01</v>
      </c>
      <c r="J24" s="381">
        <v>412.78</v>
      </c>
      <c r="K24" s="383">
        <v>142.22999999999999</v>
      </c>
      <c r="L24" s="387">
        <v>2292.96</v>
      </c>
      <c r="M24" s="104"/>
      <c r="N24" s="104"/>
    </row>
    <row r="25" spans="1:14" s="105" customFormat="1" ht="14">
      <c r="A25" s="239"/>
      <c r="B25" s="273" t="s">
        <v>113</v>
      </c>
      <c r="C25" s="327">
        <f t="shared" si="0"/>
        <v>20404.809999999998</v>
      </c>
      <c r="D25" s="327">
        <f t="shared" si="1"/>
        <v>17422.669999999998</v>
      </c>
      <c r="E25" s="386">
        <v>5806.06</v>
      </c>
      <c r="F25" s="381">
        <v>3774.99</v>
      </c>
      <c r="G25" s="383">
        <v>7657.8</v>
      </c>
      <c r="H25" s="381">
        <v>183.82</v>
      </c>
      <c r="I25" s="383">
        <f t="shared" si="2"/>
        <v>656.51</v>
      </c>
      <c r="J25" s="381">
        <v>506.03</v>
      </c>
      <c r="K25" s="383">
        <v>150.47999999999999</v>
      </c>
      <c r="L25" s="387">
        <v>2325.63</v>
      </c>
      <c r="M25" s="104"/>
      <c r="N25" s="104"/>
    </row>
    <row r="26" spans="1:14" s="105" customFormat="1" ht="14">
      <c r="A26" s="239"/>
      <c r="B26" s="273" t="s">
        <v>114</v>
      </c>
      <c r="C26" s="327">
        <f t="shared" si="0"/>
        <v>19553.329999999998</v>
      </c>
      <c r="D26" s="327">
        <f t="shared" si="1"/>
        <v>16782.59</v>
      </c>
      <c r="E26" s="386">
        <v>4442.7299999999996</v>
      </c>
      <c r="F26" s="381">
        <v>3781.14</v>
      </c>
      <c r="G26" s="383">
        <v>8374.6299999999992</v>
      </c>
      <c r="H26" s="381">
        <v>184.09</v>
      </c>
      <c r="I26" s="383">
        <f t="shared" si="2"/>
        <v>407.54999999999995</v>
      </c>
      <c r="J26" s="381">
        <v>256.33</v>
      </c>
      <c r="K26" s="383">
        <v>151.22</v>
      </c>
      <c r="L26" s="387">
        <v>2363.19</v>
      </c>
      <c r="M26" s="104"/>
      <c r="N26" s="104"/>
    </row>
    <row r="27" spans="1:14" s="105" customFormat="1" ht="14">
      <c r="A27" s="239"/>
      <c r="B27" s="273" t="s">
        <v>115</v>
      </c>
      <c r="C27" s="327">
        <f t="shared" si="0"/>
        <v>18706.690000000002</v>
      </c>
      <c r="D27" s="327">
        <f t="shared" si="1"/>
        <v>15839.060000000001</v>
      </c>
      <c r="E27" s="386">
        <v>4495.26</v>
      </c>
      <c r="F27" s="381">
        <v>3854.22</v>
      </c>
      <c r="G27" s="383">
        <v>7302.79</v>
      </c>
      <c r="H27" s="381">
        <v>186.79</v>
      </c>
      <c r="I27" s="383">
        <f t="shared" si="2"/>
        <v>479.20000000000005</v>
      </c>
      <c r="J27" s="381">
        <v>299.79000000000002</v>
      </c>
      <c r="K27" s="383">
        <v>179.41</v>
      </c>
      <c r="L27" s="387">
        <v>2388.4299999999998</v>
      </c>
      <c r="M27" s="104"/>
      <c r="N27" s="104"/>
    </row>
    <row r="28" spans="1:14" s="105" customFormat="1" ht="14">
      <c r="A28" s="239"/>
      <c r="B28" s="273" t="s">
        <v>116</v>
      </c>
      <c r="C28" s="329">
        <f t="shared" si="0"/>
        <v>19685.280000000002</v>
      </c>
      <c r="D28" s="329">
        <f t="shared" si="1"/>
        <v>16745.370000000003</v>
      </c>
      <c r="E28" s="386">
        <v>4442.96</v>
      </c>
      <c r="F28" s="381">
        <v>4065.15</v>
      </c>
      <c r="G28" s="383">
        <v>8047.06</v>
      </c>
      <c r="H28" s="381">
        <v>190.2</v>
      </c>
      <c r="I28" s="307">
        <f t="shared" si="2"/>
        <v>634.21</v>
      </c>
      <c r="J28" s="381">
        <v>471.51</v>
      </c>
      <c r="K28" s="383">
        <v>162.69999999999999</v>
      </c>
      <c r="L28" s="387">
        <v>2305.6999999999998</v>
      </c>
      <c r="M28" s="104"/>
      <c r="N28" s="104"/>
    </row>
    <row r="29" spans="1:14" s="105" customFormat="1" ht="14">
      <c r="A29" s="238">
        <v>2013</v>
      </c>
      <c r="B29" s="247" t="s">
        <v>105</v>
      </c>
      <c r="C29" s="327">
        <f t="shared" si="0"/>
        <v>19220.580000000002</v>
      </c>
      <c r="D29" s="327">
        <f t="shared" si="1"/>
        <v>16219.43</v>
      </c>
      <c r="E29" s="378">
        <v>4069.29</v>
      </c>
      <c r="F29" s="379">
        <v>3948.57</v>
      </c>
      <c r="G29" s="380">
        <v>8038.42</v>
      </c>
      <c r="H29" s="379">
        <v>163.15</v>
      </c>
      <c r="I29" s="381">
        <f t="shared" si="2"/>
        <v>654.15000000000009</v>
      </c>
      <c r="J29" s="379">
        <v>495.54</v>
      </c>
      <c r="K29" s="380">
        <v>158.61000000000001</v>
      </c>
      <c r="L29" s="379">
        <v>2347</v>
      </c>
      <c r="M29" s="104"/>
      <c r="N29" s="104"/>
    </row>
    <row r="30" spans="1:14" s="105" customFormat="1" ht="14">
      <c r="A30" s="239"/>
      <c r="B30" s="251" t="s">
        <v>106</v>
      </c>
      <c r="C30" s="327">
        <f t="shared" si="0"/>
        <v>19112.59</v>
      </c>
      <c r="D30" s="327">
        <f t="shared" si="1"/>
        <v>15942.56</v>
      </c>
      <c r="E30" s="382">
        <v>4002.14</v>
      </c>
      <c r="F30" s="383">
        <v>3884.39</v>
      </c>
      <c r="G30" s="381">
        <v>7864.09</v>
      </c>
      <c r="H30" s="383">
        <v>191.94</v>
      </c>
      <c r="I30" s="381">
        <f t="shared" si="2"/>
        <v>763.81</v>
      </c>
      <c r="J30" s="383">
        <v>588.79999999999995</v>
      </c>
      <c r="K30" s="381">
        <v>175.01</v>
      </c>
      <c r="L30" s="383">
        <v>2406.2199999999998</v>
      </c>
      <c r="M30" s="104"/>
      <c r="N30" s="104"/>
    </row>
    <row r="31" spans="1:14" s="105" customFormat="1" ht="14">
      <c r="A31" s="239"/>
      <c r="B31" s="251" t="s">
        <v>107</v>
      </c>
      <c r="C31" s="327">
        <f t="shared" si="0"/>
        <v>20452.599999999999</v>
      </c>
      <c r="D31" s="327">
        <f t="shared" si="1"/>
        <v>17315.199999999997</v>
      </c>
      <c r="E31" s="382">
        <v>4523.63</v>
      </c>
      <c r="F31" s="383">
        <v>3847.6</v>
      </c>
      <c r="G31" s="381">
        <v>8750.7099999999991</v>
      </c>
      <c r="H31" s="383">
        <v>193.26</v>
      </c>
      <c r="I31" s="381">
        <f t="shared" si="2"/>
        <v>833.82999999999993</v>
      </c>
      <c r="J31" s="383">
        <v>697.78</v>
      </c>
      <c r="K31" s="381">
        <v>136.05000000000001</v>
      </c>
      <c r="L31" s="383">
        <v>2303.5700000000002</v>
      </c>
      <c r="M31" s="104"/>
      <c r="N31" s="104"/>
    </row>
    <row r="32" spans="1:14" s="105" customFormat="1" ht="14">
      <c r="A32" s="239"/>
      <c r="B32" s="251" t="s">
        <v>108</v>
      </c>
      <c r="C32" s="327">
        <f t="shared" si="0"/>
        <v>18964.159999999996</v>
      </c>
      <c r="D32" s="327">
        <f t="shared" si="1"/>
        <v>15983.789999999999</v>
      </c>
      <c r="E32" s="382">
        <v>3651.13</v>
      </c>
      <c r="F32" s="383">
        <v>3918.53</v>
      </c>
      <c r="G32" s="381">
        <v>8219</v>
      </c>
      <c r="H32" s="383">
        <v>195.13</v>
      </c>
      <c r="I32" s="381">
        <f t="shared" si="2"/>
        <v>670.2</v>
      </c>
      <c r="J32" s="383">
        <v>537.26</v>
      </c>
      <c r="K32" s="381">
        <v>132.94</v>
      </c>
      <c r="L32" s="383">
        <v>2310.17</v>
      </c>
      <c r="M32" s="104"/>
      <c r="N32" s="104"/>
    </row>
    <row r="33" spans="1:14" s="105" customFormat="1" ht="14">
      <c r="A33" s="239"/>
      <c r="B33" s="251" t="s">
        <v>109</v>
      </c>
      <c r="C33" s="327">
        <f t="shared" si="0"/>
        <v>18276.62</v>
      </c>
      <c r="D33" s="327">
        <f t="shared" si="1"/>
        <v>15325.710000000001</v>
      </c>
      <c r="E33" s="382">
        <v>3785.76</v>
      </c>
      <c r="F33" s="383">
        <v>3950.01</v>
      </c>
      <c r="G33" s="381">
        <v>7397.1</v>
      </c>
      <c r="H33" s="383">
        <v>192.84</v>
      </c>
      <c r="I33" s="381">
        <f t="shared" si="2"/>
        <v>519.14</v>
      </c>
      <c r="J33" s="383">
        <v>360.86</v>
      </c>
      <c r="K33" s="381">
        <v>158.28</v>
      </c>
      <c r="L33" s="383">
        <v>2431.77</v>
      </c>
      <c r="M33" s="104"/>
      <c r="N33" s="104"/>
    </row>
    <row r="34" spans="1:14" s="105" customFormat="1" ht="14">
      <c r="A34" s="239"/>
      <c r="B34" s="251" t="s">
        <v>110</v>
      </c>
      <c r="C34" s="327">
        <f t="shared" si="0"/>
        <v>20426.61</v>
      </c>
      <c r="D34" s="327">
        <f t="shared" si="1"/>
        <v>17141.46</v>
      </c>
      <c r="E34" s="382">
        <v>4274.63</v>
      </c>
      <c r="F34" s="383">
        <v>4009.67</v>
      </c>
      <c r="G34" s="381">
        <v>8667.8799999999992</v>
      </c>
      <c r="H34" s="383">
        <v>189.28</v>
      </c>
      <c r="I34" s="381">
        <f t="shared" si="2"/>
        <v>884.74</v>
      </c>
      <c r="J34" s="383">
        <v>770.76</v>
      </c>
      <c r="K34" s="381">
        <v>113.98</v>
      </c>
      <c r="L34" s="383">
        <v>2400.41</v>
      </c>
      <c r="M34" s="104"/>
      <c r="N34" s="104"/>
    </row>
    <row r="35" spans="1:14" s="105" customFormat="1" ht="14">
      <c r="A35" s="239"/>
      <c r="B35" s="251" t="s">
        <v>117</v>
      </c>
      <c r="C35" s="327">
        <f t="shared" si="0"/>
        <v>19516.8</v>
      </c>
      <c r="D35" s="327">
        <f t="shared" si="1"/>
        <v>16525.98</v>
      </c>
      <c r="E35" s="382">
        <v>3339.16</v>
      </c>
      <c r="F35" s="383">
        <v>3959.93</v>
      </c>
      <c r="G35" s="381">
        <v>8434.3799999999992</v>
      </c>
      <c r="H35" s="383">
        <v>792.51</v>
      </c>
      <c r="I35" s="381">
        <f t="shared" si="2"/>
        <v>586.73</v>
      </c>
      <c r="J35" s="383">
        <v>470.44</v>
      </c>
      <c r="K35" s="381">
        <v>116.29</v>
      </c>
      <c r="L35" s="383">
        <v>2404.09</v>
      </c>
      <c r="M35" s="104"/>
      <c r="N35" s="104"/>
    </row>
    <row r="36" spans="1:14" s="105" customFormat="1" ht="14">
      <c r="A36" s="239"/>
      <c r="B36" s="251" t="s">
        <v>112</v>
      </c>
      <c r="C36" s="327">
        <f t="shared" si="0"/>
        <v>19260.840000000004</v>
      </c>
      <c r="D36" s="327">
        <f t="shared" si="1"/>
        <v>16249.220000000001</v>
      </c>
      <c r="E36" s="382">
        <v>3868.73</v>
      </c>
      <c r="F36" s="383">
        <v>3932.55</v>
      </c>
      <c r="G36" s="381">
        <v>8291.93</v>
      </c>
      <c r="H36" s="383">
        <v>156.01</v>
      </c>
      <c r="I36" s="381">
        <f t="shared" si="2"/>
        <v>629.20000000000005</v>
      </c>
      <c r="J36" s="383">
        <v>530.13</v>
      </c>
      <c r="K36" s="381">
        <v>99.07</v>
      </c>
      <c r="L36" s="383">
        <v>2382.42</v>
      </c>
      <c r="M36" s="104"/>
      <c r="N36" s="104"/>
    </row>
    <row r="37" spans="1:14" s="105" customFormat="1" ht="14">
      <c r="A37" s="239"/>
      <c r="B37" s="251" t="s">
        <v>113</v>
      </c>
      <c r="C37" s="327">
        <f t="shared" si="0"/>
        <v>20048.660000000003</v>
      </c>
      <c r="D37" s="327">
        <f t="shared" si="1"/>
        <v>17035.810000000001</v>
      </c>
      <c r="E37" s="382">
        <v>5724.3</v>
      </c>
      <c r="F37" s="383">
        <v>3967.97</v>
      </c>
      <c r="G37" s="381">
        <v>7189.93</v>
      </c>
      <c r="H37" s="383">
        <v>153.61000000000001</v>
      </c>
      <c r="I37" s="381">
        <f t="shared" si="2"/>
        <v>649.49</v>
      </c>
      <c r="J37" s="383">
        <v>479.75</v>
      </c>
      <c r="K37" s="381">
        <v>169.74</v>
      </c>
      <c r="L37" s="383">
        <v>2363.36</v>
      </c>
      <c r="M37" s="104"/>
      <c r="N37" s="104"/>
    </row>
    <row r="38" spans="1:14" s="105" customFormat="1" ht="14">
      <c r="A38" s="239"/>
      <c r="B38" s="251" t="s">
        <v>114</v>
      </c>
      <c r="C38" s="327">
        <f t="shared" si="0"/>
        <v>19368.87</v>
      </c>
      <c r="D38" s="327">
        <f t="shared" si="1"/>
        <v>16504.62</v>
      </c>
      <c r="E38" s="382">
        <v>4034.25</v>
      </c>
      <c r="F38" s="383">
        <v>3944.91</v>
      </c>
      <c r="G38" s="381">
        <v>8365.93</v>
      </c>
      <c r="H38" s="383">
        <v>159.53</v>
      </c>
      <c r="I38" s="381">
        <f t="shared" si="2"/>
        <v>517.88</v>
      </c>
      <c r="J38" s="383">
        <v>412.2</v>
      </c>
      <c r="K38" s="381">
        <v>105.68</v>
      </c>
      <c r="L38" s="383">
        <v>2346.37</v>
      </c>
      <c r="M38" s="104"/>
      <c r="N38" s="104"/>
    </row>
    <row r="39" spans="1:14" s="105" customFormat="1" ht="14">
      <c r="A39" s="239"/>
      <c r="B39" s="251" t="s">
        <v>115</v>
      </c>
      <c r="C39" s="327">
        <f t="shared" si="0"/>
        <v>18848.23</v>
      </c>
      <c r="D39" s="327">
        <f t="shared" si="1"/>
        <v>15911.91</v>
      </c>
      <c r="E39" s="382">
        <v>4026.02</v>
      </c>
      <c r="F39" s="383">
        <v>4012.48</v>
      </c>
      <c r="G39" s="381">
        <v>7720.39</v>
      </c>
      <c r="H39" s="383">
        <v>153.02000000000001</v>
      </c>
      <c r="I39" s="381">
        <f t="shared" si="2"/>
        <v>540.53</v>
      </c>
      <c r="J39" s="383">
        <v>441.13</v>
      </c>
      <c r="K39" s="381">
        <v>99.4</v>
      </c>
      <c r="L39" s="383">
        <v>2395.79</v>
      </c>
      <c r="M39" s="104"/>
      <c r="N39" s="104"/>
    </row>
    <row r="40" spans="1:14" s="105" customFormat="1" ht="14">
      <c r="A40" s="240"/>
      <c r="B40" s="252" t="s">
        <v>116</v>
      </c>
      <c r="C40" s="329">
        <f t="shared" si="0"/>
        <v>19348.650000000001</v>
      </c>
      <c r="D40" s="329">
        <f t="shared" si="1"/>
        <v>16266.640000000001</v>
      </c>
      <c r="E40" s="384">
        <v>5535.47</v>
      </c>
      <c r="F40" s="307">
        <v>4077.97</v>
      </c>
      <c r="G40" s="385">
        <v>6501.64</v>
      </c>
      <c r="H40" s="307">
        <v>151.56</v>
      </c>
      <c r="I40" s="307">
        <f t="shared" si="2"/>
        <v>617.66999999999996</v>
      </c>
      <c r="J40" s="307">
        <v>506.52</v>
      </c>
      <c r="K40" s="385">
        <v>111.15</v>
      </c>
      <c r="L40" s="307">
        <v>2464.34</v>
      </c>
      <c r="M40" s="104"/>
      <c r="N40" s="104"/>
    </row>
    <row r="41" spans="1:14" s="105" customFormat="1" ht="14">
      <c r="A41" s="238">
        <v>2014</v>
      </c>
      <c r="B41" s="272" t="s">
        <v>105</v>
      </c>
      <c r="C41" s="327">
        <f t="shared" si="0"/>
        <v>18289.47</v>
      </c>
      <c r="D41" s="327">
        <f t="shared" si="1"/>
        <v>15268.34</v>
      </c>
      <c r="E41" s="388">
        <v>3963.79</v>
      </c>
      <c r="F41" s="380">
        <v>4056.47</v>
      </c>
      <c r="G41" s="379">
        <v>7098.01</v>
      </c>
      <c r="H41" s="380">
        <v>150.07</v>
      </c>
      <c r="I41" s="379">
        <f t="shared" si="2"/>
        <v>546.66000000000008</v>
      </c>
      <c r="J41" s="380">
        <v>386.92</v>
      </c>
      <c r="K41" s="379">
        <v>159.74</v>
      </c>
      <c r="L41" s="389">
        <v>2474.4699999999998</v>
      </c>
      <c r="M41" s="104"/>
      <c r="N41" s="104"/>
    </row>
    <row r="42" spans="1:14" s="105" customFormat="1" ht="14">
      <c r="A42" s="239"/>
      <c r="B42" s="273" t="s">
        <v>106</v>
      </c>
      <c r="C42" s="327">
        <f t="shared" si="0"/>
        <v>17875.07</v>
      </c>
      <c r="D42" s="327">
        <f t="shared" si="1"/>
        <v>14901.49</v>
      </c>
      <c r="E42" s="386">
        <v>4256.3</v>
      </c>
      <c r="F42" s="381">
        <v>4176.96</v>
      </c>
      <c r="G42" s="383">
        <v>6351.84</v>
      </c>
      <c r="H42" s="381">
        <v>116.39</v>
      </c>
      <c r="I42" s="383">
        <f t="shared" si="2"/>
        <v>493.12</v>
      </c>
      <c r="J42" s="381">
        <v>392.36</v>
      </c>
      <c r="K42" s="383">
        <v>100.76</v>
      </c>
      <c r="L42" s="387">
        <v>2480.46</v>
      </c>
      <c r="M42" s="104"/>
      <c r="N42" s="104"/>
    </row>
    <row r="43" spans="1:14" s="105" customFormat="1" ht="14">
      <c r="A43" s="239"/>
      <c r="B43" s="273" t="s">
        <v>107</v>
      </c>
      <c r="C43" s="327">
        <f t="shared" si="0"/>
        <v>19270.3</v>
      </c>
      <c r="D43" s="327">
        <f t="shared" si="1"/>
        <v>16187.36</v>
      </c>
      <c r="E43" s="386">
        <v>6262.59</v>
      </c>
      <c r="F43" s="381">
        <v>4183.99</v>
      </c>
      <c r="G43" s="383">
        <v>5636.17</v>
      </c>
      <c r="H43" s="381">
        <v>104.61</v>
      </c>
      <c r="I43" s="383">
        <f t="shared" si="2"/>
        <v>592.5</v>
      </c>
      <c r="J43" s="381">
        <v>313.18</v>
      </c>
      <c r="K43" s="383">
        <v>279.32</v>
      </c>
      <c r="L43" s="387">
        <v>2490.44</v>
      </c>
      <c r="M43" s="104"/>
      <c r="N43" s="104"/>
    </row>
    <row r="44" spans="1:14" s="105" customFormat="1" ht="14">
      <c r="A44" s="239"/>
      <c r="B44" s="273" t="s">
        <v>108</v>
      </c>
      <c r="C44" s="327">
        <f t="shared" si="0"/>
        <v>18439.57</v>
      </c>
      <c r="D44" s="327">
        <f t="shared" si="1"/>
        <v>15610.12</v>
      </c>
      <c r="E44" s="386">
        <v>3974.61</v>
      </c>
      <c r="F44" s="381">
        <v>4164.66</v>
      </c>
      <c r="G44" s="383">
        <v>7363.51</v>
      </c>
      <c r="H44" s="381">
        <v>107.34</v>
      </c>
      <c r="I44" s="383">
        <f t="shared" si="2"/>
        <v>489.58</v>
      </c>
      <c r="J44" s="381">
        <v>349.69</v>
      </c>
      <c r="K44" s="383">
        <v>139.88999999999999</v>
      </c>
      <c r="L44" s="387">
        <v>2339.87</v>
      </c>
      <c r="M44" s="104"/>
      <c r="N44" s="104"/>
    </row>
    <row r="45" spans="1:14" s="105" customFormat="1" ht="14">
      <c r="A45" s="239"/>
      <c r="B45" s="273" t="s">
        <v>109</v>
      </c>
      <c r="C45" s="327">
        <f t="shared" si="0"/>
        <v>17716.29</v>
      </c>
      <c r="D45" s="327">
        <f t="shared" si="1"/>
        <v>14843.210000000001</v>
      </c>
      <c r="E45" s="386">
        <v>3909.3</v>
      </c>
      <c r="F45" s="381">
        <v>4133.75</v>
      </c>
      <c r="G45" s="383">
        <v>6692.63</v>
      </c>
      <c r="H45" s="381">
        <v>107.53</v>
      </c>
      <c r="I45" s="383">
        <f t="shared" si="2"/>
        <v>523.49</v>
      </c>
      <c r="J45" s="381">
        <v>369.44</v>
      </c>
      <c r="K45" s="383">
        <v>154.05000000000001</v>
      </c>
      <c r="L45" s="387">
        <v>2349.59</v>
      </c>
      <c r="M45" s="104"/>
      <c r="N45" s="104"/>
    </row>
    <row r="46" spans="1:14" s="105" customFormat="1" ht="14">
      <c r="A46" s="239"/>
      <c r="B46" s="273" t="s">
        <v>110</v>
      </c>
      <c r="C46" s="327">
        <f t="shared" si="0"/>
        <v>19103.36</v>
      </c>
      <c r="D46" s="327">
        <f t="shared" si="1"/>
        <v>16181.599999999999</v>
      </c>
      <c r="E46" s="386">
        <v>4306.55</v>
      </c>
      <c r="F46" s="381">
        <v>4143.91</v>
      </c>
      <c r="G46" s="383">
        <v>7620.05</v>
      </c>
      <c r="H46" s="381">
        <v>111.09</v>
      </c>
      <c r="I46" s="383">
        <f t="shared" si="2"/>
        <v>572.88</v>
      </c>
      <c r="J46" s="381">
        <v>331.76</v>
      </c>
      <c r="K46" s="383">
        <v>241.12</v>
      </c>
      <c r="L46" s="387">
        <v>2348.88</v>
      </c>
      <c r="M46" s="104"/>
      <c r="N46" s="104"/>
    </row>
    <row r="47" spans="1:14" s="105" customFormat="1" ht="14">
      <c r="A47" s="239"/>
      <c r="B47" s="273" t="s">
        <v>117</v>
      </c>
      <c r="C47" s="327">
        <f t="shared" si="0"/>
        <v>18339.47</v>
      </c>
      <c r="D47" s="327">
        <f t="shared" si="1"/>
        <v>15437.98</v>
      </c>
      <c r="E47" s="386">
        <v>4062.72</v>
      </c>
      <c r="F47" s="381">
        <v>4080.1</v>
      </c>
      <c r="G47" s="383">
        <v>7179.8</v>
      </c>
      <c r="H47" s="381">
        <v>115.36</v>
      </c>
      <c r="I47" s="383">
        <f t="shared" si="2"/>
        <v>561.74</v>
      </c>
      <c r="J47" s="381">
        <v>460.02</v>
      </c>
      <c r="K47" s="383">
        <v>101.72</v>
      </c>
      <c r="L47" s="387">
        <v>2339.75</v>
      </c>
      <c r="M47" s="104"/>
      <c r="N47" s="104"/>
    </row>
    <row r="48" spans="1:14" s="105" customFormat="1" ht="14">
      <c r="A48" s="239"/>
      <c r="B48" s="273" t="s">
        <v>112</v>
      </c>
      <c r="C48" s="327">
        <f t="shared" si="0"/>
        <v>17646.23</v>
      </c>
      <c r="D48" s="327">
        <f t="shared" si="1"/>
        <v>14926.009999999998</v>
      </c>
      <c r="E48" s="386">
        <v>4046.38</v>
      </c>
      <c r="F48" s="381">
        <v>4061.58</v>
      </c>
      <c r="G48" s="383">
        <v>6702.16</v>
      </c>
      <c r="H48" s="381">
        <v>115.89</v>
      </c>
      <c r="I48" s="383">
        <f t="shared" si="2"/>
        <v>361.51000000000005</v>
      </c>
      <c r="J48" s="381">
        <v>269.22000000000003</v>
      </c>
      <c r="K48" s="383">
        <v>92.29</v>
      </c>
      <c r="L48" s="387">
        <v>2358.71</v>
      </c>
      <c r="M48" s="104"/>
      <c r="N48" s="104"/>
    </row>
    <row r="49" spans="1:14" s="105" customFormat="1" ht="14">
      <c r="A49" s="239"/>
      <c r="B49" s="273" t="s">
        <v>113</v>
      </c>
      <c r="C49" s="327">
        <f t="shared" si="0"/>
        <v>18940.37</v>
      </c>
      <c r="D49" s="327">
        <f t="shared" si="1"/>
        <v>16037.33</v>
      </c>
      <c r="E49" s="386">
        <v>5489.81</v>
      </c>
      <c r="F49" s="381">
        <v>4081.35</v>
      </c>
      <c r="G49" s="383">
        <v>6349.6</v>
      </c>
      <c r="H49" s="381">
        <v>116.57</v>
      </c>
      <c r="I49" s="383">
        <f t="shared" si="2"/>
        <v>527.05999999999995</v>
      </c>
      <c r="J49" s="381">
        <v>401.96</v>
      </c>
      <c r="K49" s="383">
        <v>125.1</v>
      </c>
      <c r="L49" s="387">
        <v>2375.98</v>
      </c>
      <c r="M49" s="104"/>
      <c r="N49" s="104"/>
    </row>
    <row r="50" spans="1:14" s="105" customFormat="1" ht="14">
      <c r="A50" s="239"/>
      <c r="B50" s="273" t="s">
        <v>114</v>
      </c>
      <c r="C50" s="327">
        <f t="shared" si="0"/>
        <v>18384.440000000002</v>
      </c>
      <c r="D50" s="327">
        <f t="shared" si="1"/>
        <v>15515.600000000002</v>
      </c>
      <c r="E50" s="386">
        <v>3971.76</v>
      </c>
      <c r="F50" s="381">
        <v>4143.29</v>
      </c>
      <c r="G50" s="383">
        <v>7285.1</v>
      </c>
      <c r="H50" s="381">
        <v>115.45</v>
      </c>
      <c r="I50" s="383">
        <f t="shared" si="2"/>
        <v>512.94000000000005</v>
      </c>
      <c r="J50" s="381">
        <v>426.29</v>
      </c>
      <c r="K50" s="383">
        <v>86.65</v>
      </c>
      <c r="L50" s="387">
        <v>2355.9</v>
      </c>
      <c r="M50" s="104"/>
      <c r="N50" s="104"/>
    </row>
    <row r="51" spans="1:14" s="105" customFormat="1" ht="14">
      <c r="A51" s="239"/>
      <c r="B51" s="273" t="s">
        <v>115</v>
      </c>
      <c r="C51" s="327">
        <f t="shared" si="0"/>
        <v>18042.449999999997</v>
      </c>
      <c r="D51" s="327">
        <f t="shared" si="1"/>
        <v>15254.06</v>
      </c>
      <c r="E51" s="386">
        <v>4011.87</v>
      </c>
      <c r="F51" s="381">
        <v>4194.51</v>
      </c>
      <c r="G51" s="383">
        <v>6927.94</v>
      </c>
      <c r="H51" s="381">
        <v>119.74</v>
      </c>
      <c r="I51" s="383">
        <f t="shared" si="2"/>
        <v>368.23</v>
      </c>
      <c r="J51" s="381">
        <v>298.86</v>
      </c>
      <c r="K51" s="383">
        <v>69.37</v>
      </c>
      <c r="L51" s="387">
        <v>2420.16</v>
      </c>
      <c r="M51" s="104"/>
      <c r="N51" s="104"/>
    </row>
    <row r="52" spans="1:14" s="105" customFormat="1" ht="14">
      <c r="A52" s="240"/>
      <c r="B52" s="274" t="s">
        <v>116</v>
      </c>
      <c r="C52" s="329">
        <f t="shared" si="0"/>
        <v>18677.34</v>
      </c>
      <c r="D52" s="329">
        <f t="shared" si="1"/>
        <v>15617.6</v>
      </c>
      <c r="E52" s="390">
        <v>3975.32</v>
      </c>
      <c r="F52" s="385">
        <v>4264.07</v>
      </c>
      <c r="G52" s="307">
        <v>7255.67</v>
      </c>
      <c r="H52" s="385">
        <v>122.54</v>
      </c>
      <c r="I52" s="307">
        <f t="shared" si="2"/>
        <v>503.53999999999996</v>
      </c>
      <c r="J52" s="385">
        <v>350.59</v>
      </c>
      <c r="K52" s="307">
        <v>152.94999999999999</v>
      </c>
      <c r="L52" s="391">
        <v>2556.1999999999998</v>
      </c>
      <c r="M52" s="104"/>
      <c r="N52" s="104"/>
    </row>
    <row r="53" spans="1:14" s="105" customFormat="1" ht="14">
      <c r="A53" s="239">
        <v>2015</v>
      </c>
      <c r="B53" s="273" t="s">
        <v>105</v>
      </c>
      <c r="C53" s="327">
        <f t="shared" si="0"/>
        <v>17817.870000000003</v>
      </c>
      <c r="D53" s="327">
        <f t="shared" si="1"/>
        <v>14814.69</v>
      </c>
      <c r="E53" s="386">
        <v>3728.86</v>
      </c>
      <c r="F53" s="381">
        <v>4222.41</v>
      </c>
      <c r="G53" s="383">
        <v>6748.52</v>
      </c>
      <c r="H53" s="381">
        <v>114.9</v>
      </c>
      <c r="I53" s="383">
        <f t="shared" si="2"/>
        <v>476.79</v>
      </c>
      <c r="J53" s="381">
        <v>289.48</v>
      </c>
      <c r="K53" s="383">
        <v>187.31</v>
      </c>
      <c r="L53" s="379">
        <v>2526.39</v>
      </c>
      <c r="M53" s="104"/>
      <c r="N53" s="104"/>
    </row>
    <row r="54" spans="1:14" s="105" customFormat="1" ht="14">
      <c r="A54" s="239"/>
      <c r="B54" s="251" t="s">
        <v>106</v>
      </c>
      <c r="C54" s="327">
        <f t="shared" si="0"/>
        <v>17952.48</v>
      </c>
      <c r="D54" s="327">
        <f t="shared" si="1"/>
        <v>14919.59</v>
      </c>
      <c r="E54" s="386">
        <v>4267.3</v>
      </c>
      <c r="F54" s="383">
        <v>4260.6099999999997</v>
      </c>
      <c r="G54" s="383">
        <v>6272.16</v>
      </c>
      <c r="H54" s="392">
        <v>119.52</v>
      </c>
      <c r="I54" s="383">
        <f t="shared" si="2"/>
        <v>505.12</v>
      </c>
      <c r="J54" s="387">
        <v>331.6</v>
      </c>
      <c r="K54" s="383">
        <v>173.52</v>
      </c>
      <c r="L54" s="387">
        <v>2527.77</v>
      </c>
      <c r="M54" s="104"/>
      <c r="N54" s="104"/>
    </row>
    <row r="55" spans="1:14" s="105" customFormat="1" ht="14">
      <c r="A55" s="239"/>
      <c r="B55" s="251" t="s">
        <v>107</v>
      </c>
      <c r="C55" s="327">
        <f t="shared" si="0"/>
        <v>18274.229999999996</v>
      </c>
      <c r="D55" s="327">
        <f t="shared" si="1"/>
        <v>15148.069999999998</v>
      </c>
      <c r="E55" s="386">
        <v>4395.99</v>
      </c>
      <c r="F55" s="383">
        <v>4225.3100000000004</v>
      </c>
      <c r="G55" s="383">
        <v>6404.3</v>
      </c>
      <c r="H55" s="392">
        <v>122.47</v>
      </c>
      <c r="I55" s="383">
        <f t="shared" si="2"/>
        <v>627.47</v>
      </c>
      <c r="J55" s="381">
        <v>350.62</v>
      </c>
      <c r="K55" s="383">
        <v>276.85000000000002</v>
      </c>
      <c r="L55" s="383">
        <v>2498.69</v>
      </c>
      <c r="M55" s="104"/>
      <c r="N55" s="104"/>
    </row>
    <row r="56" spans="1:14" s="105" customFormat="1" ht="14">
      <c r="A56" s="239"/>
      <c r="B56" s="251" t="s">
        <v>108</v>
      </c>
      <c r="C56" s="327">
        <f t="shared" si="0"/>
        <v>17365.91</v>
      </c>
      <c r="D56" s="327">
        <f t="shared" si="1"/>
        <v>14449.67</v>
      </c>
      <c r="E56" s="386">
        <v>3806.98</v>
      </c>
      <c r="F56" s="383">
        <v>4201.3500000000004</v>
      </c>
      <c r="G56" s="383">
        <v>6322.92</v>
      </c>
      <c r="H56" s="392">
        <v>118.42</v>
      </c>
      <c r="I56" s="383">
        <f t="shared" si="2"/>
        <v>498.03</v>
      </c>
      <c r="J56" s="387">
        <v>286.11</v>
      </c>
      <c r="K56" s="383">
        <v>211.92</v>
      </c>
      <c r="L56" s="383">
        <v>2418.21</v>
      </c>
      <c r="M56" s="104"/>
      <c r="N56" s="104"/>
    </row>
    <row r="57" spans="1:14" s="105" customFormat="1" ht="14">
      <c r="A57" s="239"/>
      <c r="B57" s="251" t="s">
        <v>109</v>
      </c>
      <c r="C57" s="327">
        <f t="shared" si="0"/>
        <v>17193.900000000001</v>
      </c>
      <c r="D57" s="327">
        <f t="shared" si="1"/>
        <v>14299.650000000001</v>
      </c>
      <c r="E57" s="386">
        <v>3855.47</v>
      </c>
      <c r="F57" s="383">
        <v>4182.1000000000004</v>
      </c>
      <c r="G57" s="383">
        <v>6143.06</v>
      </c>
      <c r="H57" s="392">
        <v>119.02</v>
      </c>
      <c r="I57" s="383">
        <f t="shared" si="2"/>
        <v>413.41999999999996</v>
      </c>
      <c r="J57" s="387">
        <v>266.69</v>
      </c>
      <c r="K57" s="383">
        <v>146.72999999999999</v>
      </c>
      <c r="L57" s="383">
        <v>2480.83</v>
      </c>
      <c r="M57" s="104"/>
      <c r="N57" s="104"/>
    </row>
    <row r="58" spans="1:14" s="105" customFormat="1" ht="14">
      <c r="A58" s="239"/>
      <c r="B58" s="251" t="s">
        <v>110</v>
      </c>
      <c r="C58" s="327">
        <f t="shared" si="0"/>
        <v>17539.140000000003</v>
      </c>
      <c r="D58" s="327">
        <f t="shared" si="1"/>
        <v>14611.660000000002</v>
      </c>
      <c r="E58" s="386">
        <v>4680.8900000000003</v>
      </c>
      <c r="F58" s="383">
        <v>4192.7</v>
      </c>
      <c r="G58" s="383">
        <v>5621.38</v>
      </c>
      <c r="H58" s="392">
        <v>116.69</v>
      </c>
      <c r="I58" s="383">
        <f t="shared" si="2"/>
        <v>422.40999999999997</v>
      </c>
      <c r="J58" s="387">
        <v>264.95999999999998</v>
      </c>
      <c r="K58" s="383">
        <v>157.44999999999999</v>
      </c>
      <c r="L58" s="383">
        <v>2505.0700000000002</v>
      </c>
      <c r="M58" s="104"/>
      <c r="N58" s="104"/>
    </row>
    <row r="59" spans="1:14" s="105" customFormat="1" ht="14">
      <c r="A59" s="239"/>
      <c r="B59" s="251" t="s">
        <v>117</v>
      </c>
      <c r="C59" s="327">
        <f t="shared" si="0"/>
        <v>17277.53</v>
      </c>
      <c r="D59" s="327">
        <f t="shared" si="1"/>
        <v>14373.699999999999</v>
      </c>
      <c r="E59" s="386">
        <v>3919.99</v>
      </c>
      <c r="F59" s="383">
        <v>4175.41</v>
      </c>
      <c r="G59" s="383">
        <v>6154.11</v>
      </c>
      <c r="H59" s="392">
        <v>124.19</v>
      </c>
      <c r="I59" s="383">
        <f t="shared" si="2"/>
        <v>357.06000000000006</v>
      </c>
      <c r="J59" s="387">
        <v>277.97000000000003</v>
      </c>
      <c r="K59" s="383">
        <v>79.09</v>
      </c>
      <c r="L59" s="383">
        <v>2546.77</v>
      </c>
      <c r="M59" s="104"/>
      <c r="N59" s="104"/>
    </row>
    <row r="60" spans="1:14" s="105" customFormat="1" ht="14">
      <c r="A60" s="239"/>
      <c r="B60" s="251" t="s">
        <v>112</v>
      </c>
      <c r="C60" s="327">
        <f t="shared" si="0"/>
        <v>17089.8</v>
      </c>
      <c r="D60" s="327">
        <f t="shared" si="1"/>
        <v>14136.220000000001</v>
      </c>
      <c r="E60" s="386">
        <v>3837.54</v>
      </c>
      <c r="F60" s="383">
        <v>4139.8100000000004</v>
      </c>
      <c r="G60" s="383">
        <v>6031.33</v>
      </c>
      <c r="H60" s="392">
        <v>127.54</v>
      </c>
      <c r="I60" s="383">
        <f t="shared" si="2"/>
        <v>365.48</v>
      </c>
      <c r="J60" s="387">
        <v>264.01</v>
      </c>
      <c r="K60" s="383">
        <v>101.47</v>
      </c>
      <c r="L60" s="383">
        <v>2588.1</v>
      </c>
      <c r="M60" s="104"/>
      <c r="N60" s="104"/>
    </row>
    <row r="61" spans="1:14" s="105" customFormat="1" ht="14">
      <c r="A61" s="239"/>
      <c r="B61" s="251" t="s">
        <v>113</v>
      </c>
      <c r="C61" s="327">
        <f t="shared" si="0"/>
        <v>17814.230000000003</v>
      </c>
      <c r="D61" s="327">
        <f t="shared" si="1"/>
        <v>14826.840000000002</v>
      </c>
      <c r="E61" s="386">
        <v>4680.53</v>
      </c>
      <c r="F61" s="383">
        <v>4154.76</v>
      </c>
      <c r="G61" s="383">
        <v>5871.1</v>
      </c>
      <c r="H61" s="392">
        <v>120.45</v>
      </c>
      <c r="I61" s="383">
        <f t="shared" si="2"/>
        <v>439.79</v>
      </c>
      <c r="J61" s="387">
        <v>286.17</v>
      </c>
      <c r="K61" s="383">
        <v>153.62</v>
      </c>
      <c r="L61" s="383">
        <v>2547.6</v>
      </c>
      <c r="M61" s="104"/>
      <c r="N61" s="104"/>
    </row>
    <row r="62" spans="1:14" s="105" customFormat="1" ht="14">
      <c r="A62" s="239"/>
      <c r="B62" s="251" t="s">
        <v>114</v>
      </c>
      <c r="C62" s="327">
        <f t="shared" si="0"/>
        <v>17301.309999999998</v>
      </c>
      <c r="D62" s="327">
        <f t="shared" si="1"/>
        <v>14454.96</v>
      </c>
      <c r="E62" s="386">
        <v>3903.82</v>
      </c>
      <c r="F62" s="386">
        <v>4077.85</v>
      </c>
      <c r="G62" s="386">
        <v>6354.38</v>
      </c>
      <c r="H62" s="393">
        <v>118.91</v>
      </c>
      <c r="I62" s="383">
        <f t="shared" si="2"/>
        <v>316.49</v>
      </c>
      <c r="J62" s="394">
        <v>230.01</v>
      </c>
      <c r="K62" s="386">
        <v>86.48</v>
      </c>
      <c r="L62" s="386">
        <v>2529.86</v>
      </c>
      <c r="M62" s="104"/>
      <c r="N62" s="104"/>
    </row>
    <row r="63" spans="1:14" s="105" customFormat="1" ht="14">
      <c r="A63" s="239"/>
      <c r="B63" s="251" t="s">
        <v>115</v>
      </c>
      <c r="C63" s="327">
        <f t="shared" si="0"/>
        <v>16837.349999999999</v>
      </c>
      <c r="D63" s="327">
        <f t="shared" si="1"/>
        <v>13937.22</v>
      </c>
      <c r="E63" s="386">
        <v>3670.16</v>
      </c>
      <c r="F63" s="386">
        <v>4080.94</v>
      </c>
      <c r="G63" s="386">
        <v>6067.54</v>
      </c>
      <c r="H63" s="393">
        <v>118.58</v>
      </c>
      <c r="I63" s="383">
        <f t="shared" si="2"/>
        <v>342.07000000000005</v>
      </c>
      <c r="J63" s="394">
        <v>268.16000000000003</v>
      </c>
      <c r="K63" s="386">
        <v>73.91</v>
      </c>
      <c r="L63" s="386">
        <v>2558.06</v>
      </c>
      <c r="M63" s="104"/>
      <c r="N63" s="104"/>
    </row>
    <row r="64" spans="1:14" s="105" customFormat="1" ht="14">
      <c r="A64" s="240"/>
      <c r="B64" s="252" t="s">
        <v>116</v>
      </c>
      <c r="C64" s="329">
        <f t="shared" si="0"/>
        <v>17040.919999999998</v>
      </c>
      <c r="D64" s="329">
        <f t="shared" si="1"/>
        <v>13958.62</v>
      </c>
      <c r="E64" s="390">
        <v>4157.46</v>
      </c>
      <c r="F64" s="390">
        <v>4180.3999999999996</v>
      </c>
      <c r="G64" s="390">
        <v>5498.86</v>
      </c>
      <c r="H64" s="395">
        <v>121.9</v>
      </c>
      <c r="I64" s="307">
        <f t="shared" si="2"/>
        <v>496.56</v>
      </c>
      <c r="J64" s="396">
        <v>242.98</v>
      </c>
      <c r="K64" s="390">
        <v>253.58</v>
      </c>
      <c r="L64" s="390">
        <v>2585.7399999999998</v>
      </c>
      <c r="M64" s="104"/>
      <c r="N64" s="104"/>
    </row>
    <row r="65" spans="1:14" s="105" customFormat="1" ht="14">
      <c r="A65" s="238">
        <v>2016</v>
      </c>
      <c r="B65" s="272" t="s">
        <v>105</v>
      </c>
      <c r="C65" s="327">
        <f t="shared" si="0"/>
        <v>16750.689999999999</v>
      </c>
      <c r="D65" s="327">
        <f t="shared" si="1"/>
        <v>13868.96</v>
      </c>
      <c r="E65" s="388">
        <v>3791.38</v>
      </c>
      <c r="F65" s="378">
        <v>4114.53</v>
      </c>
      <c r="G65" s="388">
        <v>5843.15</v>
      </c>
      <c r="H65" s="378">
        <v>119.9</v>
      </c>
      <c r="I65" s="383">
        <f t="shared" si="2"/>
        <v>331.78999999999996</v>
      </c>
      <c r="J65" s="378">
        <v>165.82</v>
      </c>
      <c r="K65" s="388">
        <v>165.97</v>
      </c>
      <c r="L65" s="397">
        <v>2549.94</v>
      </c>
      <c r="M65" s="104"/>
      <c r="N65" s="104"/>
    </row>
    <row r="66" spans="1:14" s="105" customFormat="1" ht="14">
      <c r="A66" s="239"/>
      <c r="B66" s="273" t="s">
        <v>106</v>
      </c>
      <c r="C66" s="327">
        <f t="shared" si="0"/>
        <v>16806.649999999998</v>
      </c>
      <c r="D66" s="327">
        <f t="shared" si="1"/>
        <v>13843.309999999998</v>
      </c>
      <c r="E66" s="386">
        <v>3576.43</v>
      </c>
      <c r="F66" s="382">
        <v>4132.54</v>
      </c>
      <c r="G66" s="386">
        <v>6011.63</v>
      </c>
      <c r="H66" s="382">
        <v>122.71</v>
      </c>
      <c r="I66" s="383">
        <f t="shared" si="2"/>
        <v>407.74</v>
      </c>
      <c r="J66" s="382">
        <v>197.54</v>
      </c>
      <c r="K66" s="386">
        <v>210.2</v>
      </c>
      <c r="L66" s="394">
        <v>2555.6</v>
      </c>
      <c r="M66" s="104"/>
      <c r="N66" s="104"/>
    </row>
    <row r="67" spans="1:14" s="105" customFormat="1" ht="14">
      <c r="A67" s="239"/>
      <c r="B67" s="251" t="s">
        <v>107</v>
      </c>
      <c r="C67" s="327">
        <f t="shared" si="0"/>
        <v>17320.830000000002</v>
      </c>
      <c r="D67" s="327">
        <f t="shared" si="1"/>
        <v>14384.220000000001</v>
      </c>
      <c r="E67" s="386">
        <v>4408.96</v>
      </c>
      <c r="F67" s="382">
        <v>4122.01</v>
      </c>
      <c r="G67" s="386">
        <v>5732.79</v>
      </c>
      <c r="H67" s="382">
        <v>120.46</v>
      </c>
      <c r="I67" s="383">
        <f t="shared" si="2"/>
        <v>404.78999999999996</v>
      </c>
      <c r="J67" s="382">
        <v>260.13</v>
      </c>
      <c r="K67" s="386">
        <v>144.66</v>
      </c>
      <c r="L67" s="394">
        <v>2531.8200000000002</v>
      </c>
      <c r="M67" s="104"/>
      <c r="N67" s="104"/>
    </row>
    <row r="68" spans="1:14" s="105" customFormat="1" ht="14">
      <c r="A68" s="239"/>
      <c r="B68" s="273" t="s">
        <v>108</v>
      </c>
      <c r="C68" s="327">
        <f t="shared" si="0"/>
        <v>16872.580000000002</v>
      </c>
      <c r="D68" s="327">
        <f t="shared" si="1"/>
        <v>13961.390000000001</v>
      </c>
      <c r="E68" s="386">
        <v>3716.76</v>
      </c>
      <c r="F68" s="382">
        <v>4047.11</v>
      </c>
      <c r="G68" s="386">
        <v>6056.83</v>
      </c>
      <c r="H68" s="382">
        <v>140.69</v>
      </c>
      <c r="I68" s="383">
        <f t="shared" si="2"/>
        <v>332.46999999999997</v>
      </c>
      <c r="J68" s="382">
        <v>263.27999999999997</v>
      </c>
      <c r="K68" s="386">
        <v>69.19</v>
      </c>
      <c r="L68" s="394">
        <v>2578.7199999999998</v>
      </c>
      <c r="M68" s="104"/>
      <c r="N68" s="104"/>
    </row>
    <row r="69" spans="1:14" s="105" customFormat="1" ht="14">
      <c r="A69" s="239"/>
      <c r="B69" s="273" t="s">
        <v>109</v>
      </c>
      <c r="C69" s="327">
        <f t="shared" si="0"/>
        <v>16720.609999999997</v>
      </c>
      <c r="D69" s="327">
        <f t="shared" si="1"/>
        <v>13763.929999999998</v>
      </c>
      <c r="E69" s="386">
        <v>3873.73</v>
      </c>
      <c r="F69" s="382">
        <v>4047.74</v>
      </c>
      <c r="G69" s="386">
        <v>5700.31</v>
      </c>
      <c r="H69" s="382">
        <v>142.15</v>
      </c>
      <c r="I69" s="383">
        <f t="shared" si="2"/>
        <v>340.21</v>
      </c>
      <c r="J69" s="382">
        <v>239.19</v>
      </c>
      <c r="K69" s="386">
        <v>101.02</v>
      </c>
      <c r="L69" s="394">
        <v>2616.4699999999998</v>
      </c>
      <c r="M69" s="104"/>
      <c r="N69" s="104"/>
    </row>
    <row r="70" spans="1:14" s="105" customFormat="1" ht="14">
      <c r="A70" s="239"/>
      <c r="B70" s="273" t="s">
        <v>110</v>
      </c>
      <c r="C70" s="327">
        <f t="shared" si="0"/>
        <v>17249.740000000002</v>
      </c>
      <c r="D70" s="327">
        <f t="shared" si="1"/>
        <v>14192.050000000001</v>
      </c>
      <c r="E70" s="386">
        <v>4149.1000000000004</v>
      </c>
      <c r="F70" s="382">
        <v>3993.11</v>
      </c>
      <c r="G70" s="386">
        <v>5907.5</v>
      </c>
      <c r="H70" s="382">
        <v>142.34</v>
      </c>
      <c r="I70" s="383">
        <f t="shared" si="2"/>
        <v>382.08</v>
      </c>
      <c r="J70" s="382">
        <v>216.95</v>
      </c>
      <c r="K70" s="386">
        <v>165.13</v>
      </c>
      <c r="L70" s="394">
        <v>2675.61</v>
      </c>
      <c r="M70" s="104"/>
      <c r="N70" s="104"/>
    </row>
    <row r="71" spans="1:14" s="105" customFormat="1" ht="14">
      <c r="A71" s="239"/>
      <c r="B71" s="273" t="s">
        <v>117</v>
      </c>
      <c r="C71" s="327">
        <f t="shared" ref="C71:C81" si="3">D71+I71+L71</f>
        <v>17171.73</v>
      </c>
      <c r="D71" s="327">
        <f t="shared" ref="D71:D81" si="4">E71+F71+G71+H71</f>
        <v>13998.13</v>
      </c>
      <c r="E71" s="386">
        <v>3938.33</v>
      </c>
      <c r="F71" s="382">
        <v>4020.33</v>
      </c>
      <c r="G71" s="386">
        <v>5894.73</v>
      </c>
      <c r="H71" s="382">
        <v>144.74</v>
      </c>
      <c r="I71" s="383">
        <f t="shared" ref="I71:I81" si="5">J71+K71</f>
        <v>519.34</v>
      </c>
      <c r="J71" s="382">
        <v>217.1</v>
      </c>
      <c r="K71" s="386">
        <v>302.24</v>
      </c>
      <c r="L71" s="394">
        <v>2654.26</v>
      </c>
      <c r="M71" s="104"/>
      <c r="N71" s="104"/>
    </row>
    <row r="72" spans="1:14" s="105" customFormat="1" ht="14">
      <c r="A72" s="239"/>
      <c r="B72" s="273" t="s">
        <v>112</v>
      </c>
      <c r="C72" s="327">
        <f t="shared" si="3"/>
        <v>18379.530000000002</v>
      </c>
      <c r="D72" s="327">
        <f t="shared" si="4"/>
        <v>15075.460000000001</v>
      </c>
      <c r="E72" s="386">
        <v>3827.92</v>
      </c>
      <c r="F72" s="382">
        <v>3971.13</v>
      </c>
      <c r="G72" s="386">
        <v>7149.49</v>
      </c>
      <c r="H72" s="382">
        <v>126.92</v>
      </c>
      <c r="I72" s="383">
        <f t="shared" si="5"/>
        <v>637.75</v>
      </c>
      <c r="J72" s="382">
        <v>173.81</v>
      </c>
      <c r="K72" s="386">
        <v>463.94</v>
      </c>
      <c r="L72" s="394">
        <v>2666.32</v>
      </c>
      <c r="M72" s="104"/>
      <c r="N72" s="104"/>
    </row>
    <row r="73" spans="1:14" s="105" customFormat="1" ht="14">
      <c r="A73" s="239"/>
      <c r="B73" s="273" t="s">
        <v>113</v>
      </c>
      <c r="C73" s="327">
        <f t="shared" si="3"/>
        <v>18984.86</v>
      </c>
      <c r="D73" s="327">
        <f t="shared" si="4"/>
        <v>15459.73</v>
      </c>
      <c r="E73" s="386">
        <v>3908.01</v>
      </c>
      <c r="F73" s="382">
        <v>3927.66</v>
      </c>
      <c r="G73" s="386">
        <v>7492.47</v>
      </c>
      <c r="H73" s="382">
        <v>131.59</v>
      </c>
      <c r="I73" s="383">
        <f t="shared" si="5"/>
        <v>784.69999999999993</v>
      </c>
      <c r="J73" s="382">
        <v>179.03</v>
      </c>
      <c r="K73" s="386">
        <v>605.66999999999996</v>
      </c>
      <c r="L73" s="394">
        <v>2740.43</v>
      </c>
      <c r="M73" s="104"/>
      <c r="N73" s="104"/>
    </row>
    <row r="74" spans="1:14" s="105" customFormat="1" ht="14">
      <c r="A74" s="239"/>
      <c r="B74" s="273" t="s">
        <v>114</v>
      </c>
      <c r="C74" s="327">
        <f t="shared" si="3"/>
        <v>17821.98</v>
      </c>
      <c r="D74" s="327">
        <f t="shared" si="4"/>
        <v>14859.529999999999</v>
      </c>
      <c r="E74" s="386">
        <v>3737.77</v>
      </c>
      <c r="F74" s="382">
        <v>3919.15</v>
      </c>
      <c r="G74" s="386">
        <v>7075.97</v>
      </c>
      <c r="H74" s="382">
        <v>126.64</v>
      </c>
      <c r="I74" s="383">
        <f t="shared" si="5"/>
        <v>303.49</v>
      </c>
      <c r="J74" s="382">
        <v>256.38</v>
      </c>
      <c r="K74" s="386">
        <v>47.11</v>
      </c>
      <c r="L74" s="394">
        <v>2658.96</v>
      </c>
      <c r="M74" s="104"/>
      <c r="N74" s="104"/>
    </row>
    <row r="75" spans="1:14" s="105" customFormat="1" ht="14">
      <c r="A75" s="239"/>
      <c r="B75" s="273" t="s">
        <v>115</v>
      </c>
      <c r="C75" s="327">
        <f t="shared" si="3"/>
        <v>17292.830000000002</v>
      </c>
      <c r="D75" s="327">
        <f t="shared" si="4"/>
        <v>14257.89</v>
      </c>
      <c r="E75" s="386">
        <v>3819.01</v>
      </c>
      <c r="F75" s="382">
        <v>3876.97</v>
      </c>
      <c r="G75" s="386">
        <v>6451.59</v>
      </c>
      <c r="H75" s="382">
        <v>110.32</v>
      </c>
      <c r="I75" s="383">
        <f t="shared" si="5"/>
        <v>324.62</v>
      </c>
      <c r="J75" s="382">
        <v>219.97</v>
      </c>
      <c r="K75" s="386">
        <v>104.65</v>
      </c>
      <c r="L75" s="394">
        <v>2710.32</v>
      </c>
      <c r="M75" s="104"/>
      <c r="N75" s="104"/>
    </row>
    <row r="76" spans="1:14" s="105" customFormat="1" ht="14">
      <c r="A76" s="240"/>
      <c r="B76" s="252" t="s">
        <v>116</v>
      </c>
      <c r="C76" s="329">
        <f t="shared" si="3"/>
        <v>17952.55</v>
      </c>
      <c r="D76" s="329">
        <f t="shared" si="4"/>
        <v>14895.39</v>
      </c>
      <c r="E76" s="390">
        <v>3944.7</v>
      </c>
      <c r="F76" s="384">
        <v>3927.91</v>
      </c>
      <c r="G76" s="390">
        <v>6920.58</v>
      </c>
      <c r="H76" s="384">
        <v>102.2</v>
      </c>
      <c r="I76" s="307">
        <f t="shared" si="5"/>
        <v>286.14999999999998</v>
      </c>
      <c r="J76" s="384">
        <v>148.72999999999999</v>
      </c>
      <c r="K76" s="390">
        <v>137.41999999999999</v>
      </c>
      <c r="L76" s="396">
        <v>2771.01</v>
      </c>
      <c r="M76" s="104"/>
      <c r="N76" s="104"/>
    </row>
    <row r="77" spans="1:14" s="105" customFormat="1" ht="14">
      <c r="A77" s="238">
        <v>2017</v>
      </c>
      <c r="B77" s="272" t="s">
        <v>105</v>
      </c>
      <c r="C77" s="327">
        <f t="shared" si="3"/>
        <v>17162.810000000001</v>
      </c>
      <c r="D77" s="327">
        <f t="shared" si="4"/>
        <v>14199.39</v>
      </c>
      <c r="E77" s="388">
        <v>3699.38</v>
      </c>
      <c r="F77" s="378">
        <v>3863.26</v>
      </c>
      <c r="G77" s="388">
        <v>6527.91</v>
      </c>
      <c r="H77" s="378">
        <v>108.84</v>
      </c>
      <c r="I77" s="383">
        <f t="shared" si="5"/>
        <v>284.78999999999996</v>
      </c>
      <c r="J77" s="378">
        <v>152.51</v>
      </c>
      <c r="K77" s="388">
        <v>132.28</v>
      </c>
      <c r="L77" s="397">
        <v>2678.63</v>
      </c>
      <c r="M77" s="104"/>
      <c r="N77" s="104"/>
    </row>
    <row r="78" spans="1:14" s="105" customFormat="1" ht="14">
      <c r="A78" s="239"/>
      <c r="B78" s="273" t="s">
        <v>106</v>
      </c>
      <c r="C78" s="327">
        <f t="shared" si="3"/>
        <v>16975.580000000002</v>
      </c>
      <c r="D78" s="327">
        <f t="shared" si="4"/>
        <v>14008.82</v>
      </c>
      <c r="E78" s="386">
        <v>3666.29</v>
      </c>
      <c r="F78" s="382">
        <v>3912.41</v>
      </c>
      <c r="G78" s="386">
        <v>6321.47</v>
      </c>
      <c r="H78" s="382">
        <v>108.65</v>
      </c>
      <c r="I78" s="383">
        <f t="shared" si="5"/>
        <v>288.51</v>
      </c>
      <c r="J78" s="382">
        <v>185.06</v>
      </c>
      <c r="K78" s="386">
        <v>103.45</v>
      </c>
      <c r="L78" s="394">
        <v>2678.25</v>
      </c>
      <c r="M78" s="104"/>
      <c r="N78" s="104"/>
    </row>
    <row r="79" spans="1:14" s="105" customFormat="1" ht="14">
      <c r="A79" s="239"/>
      <c r="B79" s="251" t="s">
        <v>107</v>
      </c>
      <c r="C79" s="327">
        <f t="shared" si="3"/>
        <v>16962.13</v>
      </c>
      <c r="D79" s="327">
        <f t="shared" si="4"/>
        <v>14004.910000000002</v>
      </c>
      <c r="E79" s="386">
        <v>4459.3900000000003</v>
      </c>
      <c r="F79" s="382">
        <v>3954.97</v>
      </c>
      <c r="G79" s="386">
        <v>5479.04</v>
      </c>
      <c r="H79" s="382">
        <v>111.51</v>
      </c>
      <c r="I79" s="383">
        <f t="shared" si="5"/>
        <v>333.84000000000003</v>
      </c>
      <c r="J79" s="382">
        <v>236.41</v>
      </c>
      <c r="K79" s="386">
        <v>97.43</v>
      </c>
      <c r="L79" s="394">
        <v>2623.38</v>
      </c>
      <c r="M79" s="104"/>
      <c r="N79" s="104"/>
    </row>
    <row r="80" spans="1:14" s="105" customFormat="1" ht="14">
      <c r="A80" s="239"/>
      <c r="B80" s="273" t="s">
        <v>108</v>
      </c>
      <c r="C80" s="327">
        <f t="shared" si="3"/>
        <v>17157.18</v>
      </c>
      <c r="D80" s="327">
        <f t="shared" si="4"/>
        <v>14216.199999999999</v>
      </c>
      <c r="E80" s="386">
        <v>3799.47</v>
      </c>
      <c r="F80" s="382">
        <v>3939.98</v>
      </c>
      <c r="G80" s="386">
        <v>6344.4</v>
      </c>
      <c r="H80" s="382">
        <v>132.35</v>
      </c>
      <c r="I80" s="383">
        <f t="shared" si="5"/>
        <v>293.31</v>
      </c>
      <c r="J80" s="382">
        <v>216.77</v>
      </c>
      <c r="K80" s="386">
        <v>76.540000000000006</v>
      </c>
      <c r="L80" s="394">
        <v>2647.67</v>
      </c>
      <c r="M80" s="104"/>
      <c r="N80" s="104"/>
    </row>
    <row r="81" spans="1:14" s="105" customFormat="1" ht="14">
      <c r="A81" s="239"/>
      <c r="B81" s="273" t="s">
        <v>109</v>
      </c>
      <c r="C81" s="327">
        <f t="shared" si="3"/>
        <v>16839.97</v>
      </c>
      <c r="D81" s="327">
        <f t="shared" si="4"/>
        <v>13816.2</v>
      </c>
      <c r="E81" s="386">
        <v>3500.24</v>
      </c>
      <c r="F81" s="382">
        <v>3980.64</v>
      </c>
      <c r="G81" s="386">
        <v>6224.53</v>
      </c>
      <c r="H81" s="382">
        <v>110.79</v>
      </c>
      <c r="I81" s="383">
        <f t="shared" si="5"/>
        <v>288.21999999999997</v>
      </c>
      <c r="J81" s="382">
        <v>217.98</v>
      </c>
      <c r="K81" s="386">
        <v>70.239999999999995</v>
      </c>
      <c r="L81" s="394">
        <v>2735.55</v>
      </c>
      <c r="M81" s="104"/>
      <c r="N81" s="104"/>
    </row>
    <row r="82" spans="1:14" s="105" customFormat="1" ht="14">
      <c r="A82" s="239"/>
      <c r="B82" s="251" t="s">
        <v>110</v>
      </c>
      <c r="C82" s="327">
        <f t="shared" ref="C82:C114" si="6">D82+I82+L82</f>
        <v>17304.79</v>
      </c>
      <c r="D82" s="327">
        <f t="shared" ref="D82:D114" si="7">E82+F82+G82+H82</f>
        <v>14260.46</v>
      </c>
      <c r="E82" s="386">
        <v>4144.03</v>
      </c>
      <c r="F82" s="382">
        <v>3964.79</v>
      </c>
      <c r="G82" s="386">
        <v>6037.46</v>
      </c>
      <c r="H82" s="382">
        <v>114.18</v>
      </c>
      <c r="I82" s="383">
        <f t="shared" ref="I82:I146" si="8">J82+K82</f>
        <v>282.5</v>
      </c>
      <c r="J82" s="382">
        <v>186.41</v>
      </c>
      <c r="K82" s="386">
        <v>96.09</v>
      </c>
      <c r="L82" s="394">
        <v>2761.83</v>
      </c>
      <c r="M82" s="104"/>
      <c r="N82" s="104"/>
    </row>
    <row r="83" spans="1:14" s="105" customFormat="1" ht="14">
      <c r="A83" s="239"/>
      <c r="B83" s="273" t="s">
        <v>117</v>
      </c>
      <c r="C83" s="327">
        <f t="shared" si="6"/>
        <v>16716.120000000003</v>
      </c>
      <c r="D83" s="327">
        <f t="shared" si="7"/>
        <v>13797.12</v>
      </c>
      <c r="E83" s="386">
        <v>3576.03</v>
      </c>
      <c r="F83" s="382">
        <v>3958.61</v>
      </c>
      <c r="G83" s="386">
        <v>6148.89</v>
      </c>
      <c r="H83" s="382">
        <v>113.59</v>
      </c>
      <c r="I83" s="383">
        <f t="shared" si="8"/>
        <v>258.77999999999997</v>
      </c>
      <c r="J83" s="382">
        <v>191.32</v>
      </c>
      <c r="K83" s="386">
        <v>67.459999999999994</v>
      </c>
      <c r="L83" s="394">
        <v>2660.22</v>
      </c>
      <c r="M83" s="104"/>
      <c r="N83" s="104"/>
    </row>
    <row r="84" spans="1:14" s="105" customFormat="1" ht="14">
      <c r="A84" s="239"/>
      <c r="B84" s="273" t="s">
        <v>112</v>
      </c>
      <c r="C84" s="327">
        <f t="shared" si="6"/>
        <v>16813.830000000002</v>
      </c>
      <c r="D84" s="327">
        <f t="shared" si="7"/>
        <v>13904.27</v>
      </c>
      <c r="E84" s="386">
        <v>3682.02</v>
      </c>
      <c r="F84" s="382">
        <v>3968.92</v>
      </c>
      <c r="G84" s="386">
        <v>6136.23</v>
      </c>
      <c r="H84" s="382">
        <v>117.1</v>
      </c>
      <c r="I84" s="383">
        <f t="shared" si="8"/>
        <v>299.02</v>
      </c>
      <c r="J84" s="382">
        <v>219.76</v>
      </c>
      <c r="K84" s="386">
        <v>79.260000000000005</v>
      </c>
      <c r="L84" s="394">
        <v>2610.54</v>
      </c>
      <c r="M84" s="104"/>
      <c r="N84" s="104"/>
    </row>
    <row r="85" spans="1:14" s="105" customFormat="1" ht="14">
      <c r="A85" s="239"/>
      <c r="B85" s="273" t="s">
        <v>113</v>
      </c>
      <c r="C85" s="327">
        <f t="shared" si="6"/>
        <v>17368.810000000001</v>
      </c>
      <c r="D85" s="327">
        <f t="shared" si="7"/>
        <v>14503.150000000001</v>
      </c>
      <c r="E85" s="386">
        <v>3757.38</v>
      </c>
      <c r="F85" s="382">
        <v>3952.24</v>
      </c>
      <c r="G85" s="386">
        <v>6675.1</v>
      </c>
      <c r="H85" s="382">
        <v>118.43</v>
      </c>
      <c r="I85" s="383">
        <f t="shared" si="8"/>
        <v>233.4</v>
      </c>
      <c r="J85" s="382">
        <v>146.18</v>
      </c>
      <c r="K85" s="386">
        <v>87.22</v>
      </c>
      <c r="L85" s="394">
        <v>2632.26</v>
      </c>
      <c r="M85" s="104"/>
      <c r="N85" s="104"/>
    </row>
    <row r="86" spans="1:14" s="105" customFormat="1" ht="14">
      <c r="A86" s="239"/>
      <c r="B86" s="273" t="s">
        <v>114</v>
      </c>
      <c r="C86" s="327">
        <f t="shared" si="6"/>
        <v>17112.41</v>
      </c>
      <c r="D86" s="327">
        <f t="shared" si="7"/>
        <v>14426.1</v>
      </c>
      <c r="E86" s="386">
        <v>3736.46</v>
      </c>
      <c r="F86" s="382">
        <v>3950</v>
      </c>
      <c r="G86" s="386">
        <v>6635.22</v>
      </c>
      <c r="H86" s="382">
        <v>104.42</v>
      </c>
      <c r="I86" s="383">
        <f t="shared" si="8"/>
        <v>223.27</v>
      </c>
      <c r="J86" s="382">
        <v>157.93</v>
      </c>
      <c r="K86" s="386">
        <v>65.34</v>
      </c>
      <c r="L86" s="394">
        <v>2463.04</v>
      </c>
      <c r="M86" s="104"/>
      <c r="N86" s="104"/>
    </row>
    <row r="87" spans="1:14" s="105" customFormat="1" ht="14">
      <c r="A87" s="239"/>
      <c r="B87" s="273" t="s">
        <v>115</v>
      </c>
      <c r="C87" s="398">
        <f t="shared" si="6"/>
        <v>16785.78</v>
      </c>
      <c r="D87" s="398">
        <f t="shared" si="7"/>
        <v>14175.18</v>
      </c>
      <c r="E87" s="398">
        <v>3751.48</v>
      </c>
      <c r="F87" s="399">
        <v>3956.45</v>
      </c>
      <c r="G87" s="398">
        <v>6362.9</v>
      </c>
      <c r="H87" s="399">
        <v>104.35</v>
      </c>
      <c r="I87" s="400">
        <f t="shared" si="8"/>
        <v>189.26000000000002</v>
      </c>
      <c r="J87" s="399">
        <v>133.80000000000001</v>
      </c>
      <c r="K87" s="398">
        <v>55.46</v>
      </c>
      <c r="L87" s="401">
        <v>2421.34</v>
      </c>
      <c r="M87" s="104"/>
      <c r="N87" s="104"/>
    </row>
    <row r="88" spans="1:14" s="105" customFormat="1" ht="14">
      <c r="A88" s="240"/>
      <c r="B88" s="252" t="s">
        <v>116</v>
      </c>
      <c r="C88" s="329">
        <f t="shared" si="6"/>
        <v>17484.060000000001</v>
      </c>
      <c r="D88" s="329">
        <f t="shared" si="7"/>
        <v>14713.18</v>
      </c>
      <c r="E88" s="390">
        <v>3660.57</v>
      </c>
      <c r="F88" s="384">
        <v>4083.89</v>
      </c>
      <c r="G88" s="390">
        <v>6849.92</v>
      </c>
      <c r="H88" s="384">
        <v>118.8</v>
      </c>
      <c r="I88" s="307">
        <f t="shared" si="8"/>
        <v>514.85</v>
      </c>
      <c r="J88" s="384">
        <v>132.81</v>
      </c>
      <c r="K88" s="390">
        <v>382.04</v>
      </c>
      <c r="L88" s="396">
        <v>2256.0300000000002</v>
      </c>
      <c r="M88" s="104"/>
      <c r="N88" s="104"/>
    </row>
    <row r="89" spans="1:14" s="105" customFormat="1" ht="14">
      <c r="A89" s="238">
        <v>2018</v>
      </c>
      <c r="B89" s="272" t="s">
        <v>105</v>
      </c>
      <c r="C89" s="332">
        <f t="shared" si="6"/>
        <v>16935.73</v>
      </c>
      <c r="D89" s="332">
        <f t="shared" si="7"/>
        <v>14341.91</v>
      </c>
      <c r="E89" s="388">
        <v>3571.22</v>
      </c>
      <c r="F89" s="378">
        <v>4021.2</v>
      </c>
      <c r="G89" s="388">
        <v>6618.82</v>
      </c>
      <c r="H89" s="378">
        <v>130.66999999999999</v>
      </c>
      <c r="I89" s="379">
        <f t="shared" si="8"/>
        <v>333.77</v>
      </c>
      <c r="J89" s="378">
        <v>191.66</v>
      </c>
      <c r="K89" s="388">
        <v>142.11000000000001</v>
      </c>
      <c r="L89" s="397">
        <v>2260.0500000000002</v>
      </c>
      <c r="M89" s="104"/>
      <c r="N89" s="104"/>
    </row>
    <row r="90" spans="1:14" s="105" customFormat="1" ht="14">
      <c r="A90" s="239"/>
      <c r="B90" s="273" t="s">
        <v>106</v>
      </c>
      <c r="C90" s="327">
        <f t="shared" si="6"/>
        <v>16675.21</v>
      </c>
      <c r="D90" s="327">
        <f t="shared" si="7"/>
        <v>14013.429999999998</v>
      </c>
      <c r="E90" s="386">
        <v>3521.72</v>
      </c>
      <c r="F90" s="382">
        <v>4123.3999999999996</v>
      </c>
      <c r="G90" s="386">
        <v>6237.83</v>
      </c>
      <c r="H90" s="382">
        <v>130.47999999999999</v>
      </c>
      <c r="I90" s="383">
        <f t="shared" si="8"/>
        <v>338.64</v>
      </c>
      <c r="J90" s="382">
        <v>206.68</v>
      </c>
      <c r="K90" s="386">
        <v>131.96</v>
      </c>
      <c r="L90" s="394">
        <v>2323.14</v>
      </c>
      <c r="M90" s="104"/>
      <c r="N90" s="104"/>
    </row>
    <row r="91" spans="1:14" s="105" customFormat="1" ht="14">
      <c r="A91" s="239"/>
      <c r="B91" s="251" t="s">
        <v>107</v>
      </c>
      <c r="C91" s="327">
        <f t="shared" si="6"/>
        <v>17186.099999999999</v>
      </c>
      <c r="D91" s="327">
        <f t="shared" si="7"/>
        <v>14508.52</v>
      </c>
      <c r="E91" s="386">
        <v>4469.49</v>
      </c>
      <c r="F91" s="382">
        <v>4070.86</v>
      </c>
      <c r="G91" s="386">
        <v>5848.18</v>
      </c>
      <c r="H91" s="382">
        <v>119.99</v>
      </c>
      <c r="I91" s="383">
        <f t="shared" si="8"/>
        <v>452.46</v>
      </c>
      <c r="J91" s="382">
        <v>206.64</v>
      </c>
      <c r="K91" s="386">
        <v>245.82</v>
      </c>
      <c r="L91" s="394">
        <v>2225.12</v>
      </c>
      <c r="M91" s="104"/>
      <c r="N91" s="104"/>
    </row>
    <row r="92" spans="1:14" s="105" customFormat="1" ht="14">
      <c r="A92" s="239"/>
      <c r="B92" s="273" t="s">
        <v>108</v>
      </c>
      <c r="C92" s="328">
        <f t="shared" si="6"/>
        <v>16479</v>
      </c>
      <c r="D92" s="327">
        <f t="shared" si="7"/>
        <v>13942.31</v>
      </c>
      <c r="E92" s="386">
        <v>3725.39</v>
      </c>
      <c r="F92" s="386">
        <v>4022.34</v>
      </c>
      <c r="G92" s="386">
        <v>6085.39</v>
      </c>
      <c r="H92" s="386">
        <v>109.19</v>
      </c>
      <c r="I92" s="383">
        <f t="shared" si="8"/>
        <v>282.23</v>
      </c>
      <c r="J92" s="386">
        <v>200.83</v>
      </c>
      <c r="K92" s="386">
        <v>81.400000000000006</v>
      </c>
      <c r="L92" s="394">
        <v>2254.46</v>
      </c>
      <c r="M92" s="104"/>
      <c r="N92" s="104"/>
    </row>
    <row r="93" spans="1:14" s="105" customFormat="1" ht="14">
      <c r="A93" s="239"/>
      <c r="B93" s="273" t="s">
        <v>109</v>
      </c>
      <c r="C93" s="328">
        <f t="shared" si="6"/>
        <v>16405.150000000001</v>
      </c>
      <c r="D93" s="327">
        <f t="shared" si="7"/>
        <v>13611.06</v>
      </c>
      <c r="E93" s="386">
        <v>3578.25</v>
      </c>
      <c r="F93" s="386">
        <v>4068.79</v>
      </c>
      <c r="G93" s="386">
        <v>5858.67</v>
      </c>
      <c r="H93" s="386">
        <v>105.35</v>
      </c>
      <c r="I93" s="383">
        <f t="shared" si="8"/>
        <v>475.44</v>
      </c>
      <c r="J93" s="386">
        <v>223.41</v>
      </c>
      <c r="K93" s="386">
        <v>252.03</v>
      </c>
      <c r="L93" s="394">
        <v>2318.65</v>
      </c>
      <c r="M93" s="104"/>
      <c r="N93" s="104"/>
    </row>
    <row r="94" spans="1:14" s="105" customFormat="1" ht="14">
      <c r="A94" s="239"/>
      <c r="B94" s="273" t="s">
        <v>110</v>
      </c>
      <c r="C94" s="327">
        <f t="shared" si="6"/>
        <v>17712.34</v>
      </c>
      <c r="D94" s="327">
        <f t="shared" si="7"/>
        <v>14690.050000000001</v>
      </c>
      <c r="E94" s="386">
        <v>4538.54</v>
      </c>
      <c r="F94" s="386">
        <v>4092.65</v>
      </c>
      <c r="G94" s="386">
        <v>5956.03</v>
      </c>
      <c r="H94" s="386">
        <v>102.83</v>
      </c>
      <c r="I94" s="383">
        <f t="shared" si="8"/>
        <v>667.67</v>
      </c>
      <c r="J94" s="386">
        <v>221.92</v>
      </c>
      <c r="K94" s="386">
        <v>445.75</v>
      </c>
      <c r="L94" s="386">
        <v>2354.62</v>
      </c>
      <c r="M94" s="104"/>
      <c r="N94" s="104"/>
    </row>
    <row r="95" spans="1:14" s="105" customFormat="1" ht="14">
      <c r="A95" s="239"/>
      <c r="B95" s="273" t="s">
        <v>117</v>
      </c>
      <c r="C95" s="327">
        <f t="shared" si="6"/>
        <v>17396.939999999999</v>
      </c>
      <c r="D95" s="327">
        <f t="shared" si="7"/>
        <v>14692.21</v>
      </c>
      <c r="E95" s="386">
        <v>3603.22</v>
      </c>
      <c r="F95" s="386">
        <v>4070.66</v>
      </c>
      <c r="G95" s="386">
        <v>6915.08</v>
      </c>
      <c r="H95" s="386">
        <v>103.25</v>
      </c>
      <c r="I95" s="383">
        <f t="shared" si="8"/>
        <v>413.09000000000003</v>
      </c>
      <c r="J95" s="386">
        <v>208.68</v>
      </c>
      <c r="K95" s="386">
        <v>204.41</v>
      </c>
      <c r="L95" s="386">
        <v>2291.64</v>
      </c>
      <c r="M95" s="104"/>
      <c r="N95" s="104"/>
    </row>
    <row r="96" spans="1:14" s="105" customFormat="1" ht="14">
      <c r="A96" s="239"/>
      <c r="B96" s="273" t="s">
        <v>112</v>
      </c>
      <c r="C96" s="327">
        <f t="shared" si="6"/>
        <v>17261.489999999998</v>
      </c>
      <c r="D96" s="327">
        <f t="shared" si="7"/>
        <v>14643.789999999999</v>
      </c>
      <c r="E96" s="386">
        <v>3460.61</v>
      </c>
      <c r="F96" s="386">
        <v>4184.28</v>
      </c>
      <c r="G96" s="386">
        <v>6941.46</v>
      </c>
      <c r="H96" s="386">
        <v>57.44</v>
      </c>
      <c r="I96" s="383">
        <f t="shared" si="8"/>
        <v>351.5</v>
      </c>
      <c r="J96" s="386">
        <v>188.89</v>
      </c>
      <c r="K96" s="386">
        <v>162.61000000000001</v>
      </c>
      <c r="L96" s="386">
        <v>2266.1999999999998</v>
      </c>
      <c r="M96" s="104"/>
      <c r="N96" s="104"/>
    </row>
    <row r="97" spans="1:14" s="105" customFormat="1" ht="14">
      <c r="A97" s="239"/>
      <c r="B97" s="273" t="s">
        <v>113</v>
      </c>
      <c r="C97" s="327">
        <f t="shared" si="6"/>
        <v>17528.39</v>
      </c>
      <c r="D97" s="327">
        <f t="shared" si="7"/>
        <v>14771.7</v>
      </c>
      <c r="E97" s="386">
        <v>4682.2700000000004</v>
      </c>
      <c r="F97" s="386">
        <v>4107.5</v>
      </c>
      <c r="G97" s="386">
        <v>5920.9</v>
      </c>
      <c r="H97" s="386">
        <v>61.03</v>
      </c>
      <c r="I97" s="383">
        <f t="shared" si="8"/>
        <v>489.96</v>
      </c>
      <c r="J97" s="386">
        <v>185.26</v>
      </c>
      <c r="K97" s="386">
        <v>304.7</v>
      </c>
      <c r="L97" s="386">
        <v>2266.73</v>
      </c>
      <c r="M97" s="104"/>
      <c r="N97" s="104"/>
    </row>
    <row r="98" spans="1:14" s="105" customFormat="1" ht="14">
      <c r="A98" s="239"/>
      <c r="B98" s="273" t="s">
        <v>114</v>
      </c>
      <c r="C98" s="328">
        <f t="shared" si="6"/>
        <v>16637.96</v>
      </c>
      <c r="D98" s="327">
        <f t="shared" si="7"/>
        <v>14051.73</v>
      </c>
      <c r="E98" s="386">
        <v>3475.31</v>
      </c>
      <c r="F98" s="386">
        <v>4108.41</v>
      </c>
      <c r="G98" s="386">
        <v>6386.05</v>
      </c>
      <c r="H98" s="386">
        <v>81.96</v>
      </c>
      <c r="I98" s="383">
        <f t="shared" si="8"/>
        <v>272.48</v>
      </c>
      <c r="J98" s="386">
        <v>160.72999999999999</v>
      </c>
      <c r="K98" s="386">
        <v>111.75</v>
      </c>
      <c r="L98" s="394">
        <v>2313.75</v>
      </c>
      <c r="M98" s="104"/>
      <c r="N98" s="104"/>
    </row>
    <row r="99" spans="1:14" s="105" customFormat="1" ht="14">
      <c r="A99" s="239"/>
      <c r="B99" s="273" t="s">
        <v>115</v>
      </c>
      <c r="C99" s="328">
        <f t="shared" si="6"/>
        <v>16500.510000000002</v>
      </c>
      <c r="D99" s="327">
        <f t="shared" si="7"/>
        <v>13845.7</v>
      </c>
      <c r="E99" s="386">
        <v>3435.41</v>
      </c>
      <c r="F99" s="386">
        <v>4063</v>
      </c>
      <c r="G99" s="386">
        <v>6268.26</v>
      </c>
      <c r="H99" s="386">
        <v>79.03</v>
      </c>
      <c r="I99" s="383">
        <f t="shared" si="8"/>
        <v>344.34000000000003</v>
      </c>
      <c r="J99" s="386">
        <v>144.05000000000001</v>
      </c>
      <c r="K99" s="386">
        <v>200.29</v>
      </c>
      <c r="L99" s="394">
        <v>2310.4699999999998</v>
      </c>
      <c r="M99" s="104"/>
      <c r="N99" s="104"/>
    </row>
    <row r="100" spans="1:14" s="105" customFormat="1" ht="14">
      <c r="A100" s="240"/>
      <c r="B100" s="252" t="s">
        <v>116</v>
      </c>
      <c r="C100" s="329">
        <f t="shared" si="6"/>
        <v>18330.780000000002</v>
      </c>
      <c r="D100" s="329">
        <f t="shared" si="7"/>
        <v>15132.990000000002</v>
      </c>
      <c r="E100" s="390">
        <v>3408.82</v>
      </c>
      <c r="F100" s="384">
        <v>4104.2</v>
      </c>
      <c r="G100" s="390">
        <v>7546.04</v>
      </c>
      <c r="H100" s="384">
        <v>73.930000000000007</v>
      </c>
      <c r="I100" s="307">
        <f t="shared" si="8"/>
        <v>821.54</v>
      </c>
      <c r="J100" s="384">
        <v>127.67</v>
      </c>
      <c r="K100" s="390">
        <v>693.87</v>
      </c>
      <c r="L100" s="396">
        <v>2376.25</v>
      </c>
      <c r="M100" s="104"/>
      <c r="N100" s="104"/>
    </row>
    <row r="101" spans="1:14" s="105" customFormat="1" ht="14">
      <c r="A101" s="238">
        <v>2019</v>
      </c>
      <c r="B101" s="272" t="s">
        <v>105</v>
      </c>
      <c r="C101" s="333">
        <f t="shared" si="6"/>
        <v>17371</v>
      </c>
      <c r="D101" s="332">
        <f t="shared" si="7"/>
        <v>14690.19</v>
      </c>
      <c r="E101" s="388">
        <v>3454.39</v>
      </c>
      <c r="F101" s="388">
        <v>4017.07</v>
      </c>
      <c r="G101" s="388">
        <v>7148.06</v>
      </c>
      <c r="H101" s="388">
        <v>70.67</v>
      </c>
      <c r="I101" s="379">
        <f t="shared" si="8"/>
        <v>302.32</v>
      </c>
      <c r="J101" s="388">
        <v>118.55</v>
      </c>
      <c r="K101" s="388">
        <v>183.77</v>
      </c>
      <c r="L101" s="388">
        <v>2378.4899999999998</v>
      </c>
      <c r="M101" s="104"/>
      <c r="N101" s="104"/>
    </row>
    <row r="102" spans="1:14" s="105" customFormat="1" ht="14">
      <c r="A102" s="239"/>
      <c r="B102" s="273" t="s">
        <v>106</v>
      </c>
      <c r="C102" s="328">
        <f t="shared" si="6"/>
        <v>17092.469999999998</v>
      </c>
      <c r="D102" s="327">
        <f t="shared" si="7"/>
        <v>14439.279999999999</v>
      </c>
      <c r="E102" s="327">
        <v>3491.58</v>
      </c>
      <c r="F102" s="327">
        <v>4031.79</v>
      </c>
      <c r="G102" s="327">
        <v>6842.11</v>
      </c>
      <c r="H102" s="327">
        <v>73.8</v>
      </c>
      <c r="I102" s="290">
        <f t="shared" si="8"/>
        <v>256.84000000000003</v>
      </c>
      <c r="J102" s="327">
        <v>92.97</v>
      </c>
      <c r="K102" s="327">
        <v>163.87</v>
      </c>
      <c r="L102" s="327">
        <v>2396.35</v>
      </c>
      <c r="M102" s="104"/>
      <c r="N102" s="104"/>
    </row>
    <row r="103" spans="1:14" s="105" customFormat="1" ht="14">
      <c r="A103" s="239"/>
      <c r="B103" s="251" t="s">
        <v>107</v>
      </c>
      <c r="C103" s="328">
        <f t="shared" si="6"/>
        <v>18023.850000000002</v>
      </c>
      <c r="D103" s="327">
        <f t="shared" si="7"/>
        <v>14893.720000000001</v>
      </c>
      <c r="E103" s="327">
        <v>4681.59</v>
      </c>
      <c r="F103" s="327">
        <v>4048.41</v>
      </c>
      <c r="G103" s="327">
        <v>6087.63</v>
      </c>
      <c r="H103" s="327">
        <v>76.09</v>
      </c>
      <c r="I103" s="290">
        <f t="shared" si="8"/>
        <v>713.51</v>
      </c>
      <c r="J103" s="327">
        <v>123.87</v>
      </c>
      <c r="K103" s="327">
        <v>589.64</v>
      </c>
      <c r="L103" s="327">
        <v>2416.62</v>
      </c>
      <c r="M103" s="104"/>
      <c r="N103" s="104"/>
    </row>
    <row r="104" spans="1:14" s="105" customFormat="1" ht="14">
      <c r="A104" s="239"/>
      <c r="B104" s="273" t="s">
        <v>108</v>
      </c>
      <c r="C104" s="328">
        <f t="shared" si="6"/>
        <v>17527.61</v>
      </c>
      <c r="D104" s="327">
        <f t="shared" si="7"/>
        <v>14632.01</v>
      </c>
      <c r="E104" s="327">
        <v>3608.49</v>
      </c>
      <c r="F104" s="327">
        <v>4039.46</v>
      </c>
      <c r="G104" s="327">
        <v>6897.29</v>
      </c>
      <c r="H104" s="327">
        <v>86.77</v>
      </c>
      <c r="I104" s="290">
        <f t="shared" si="8"/>
        <v>431.04</v>
      </c>
      <c r="J104" s="327">
        <v>127.24</v>
      </c>
      <c r="K104" s="327">
        <v>303.8</v>
      </c>
      <c r="L104" s="327">
        <v>2464.56</v>
      </c>
      <c r="M104" s="104"/>
      <c r="N104" s="104"/>
    </row>
    <row r="105" spans="1:14" s="105" customFormat="1" ht="14">
      <c r="A105" s="239"/>
      <c r="B105" s="273" t="s">
        <v>109</v>
      </c>
      <c r="C105" s="328">
        <f t="shared" si="6"/>
        <v>16783.919999999998</v>
      </c>
      <c r="D105" s="327">
        <f t="shared" si="7"/>
        <v>13783.97</v>
      </c>
      <c r="E105" s="327">
        <v>3541.35</v>
      </c>
      <c r="F105" s="327">
        <v>4011.23</v>
      </c>
      <c r="G105" s="327">
        <v>6145.95</v>
      </c>
      <c r="H105" s="327">
        <v>85.44</v>
      </c>
      <c r="I105" s="290">
        <f t="shared" si="8"/>
        <v>484.66999999999996</v>
      </c>
      <c r="J105" s="327">
        <v>147.54</v>
      </c>
      <c r="K105" s="327">
        <v>337.13</v>
      </c>
      <c r="L105" s="327">
        <v>2515.2800000000002</v>
      </c>
      <c r="M105" s="104"/>
      <c r="N105" s="104"/>
    </row>
    <row r="106" spans="1:14" s="105" customFormat="1" ht="14">
      <c r="A106" s="239"/>
      <c r="B106" s="273" t="s">
        <v>110</v>
      </c>
      <c r="C106" s="328">
        <f t="shared" si="6"/>
        <v>17264.75</v>
      </c>
      <c r="D106" s="327">
        <f t="shared" si="7"/>
        <v>14411.86</v>
      </c>
      <c r="E106" s="327">
        <v>4524.08</v>
      </c>
      <c r="F106" s="327">
        <v>4004.93</v>
      </c>
      <c r="G106" s="327">
        <v>5796.28</v>
      </c>
      <c r="H106" s="327">
        <v>86.57</v>
      </c>
      <c r="I106" s="290">
        <f t="shared" si="8"/>
        <v>365.35</v>
      </c>
      <c r="J106" s="327">
        <v>135.55000000000001</v>
      </c>
      <c r="K106" s="327">
        <v>229.8</v>
      </c>
      <c r="L106" s="327">
        <v>2487.54</v>
      </c>
      <c r="M106" s="104"/>
      <c r="N106" s="104"/>
    </row>
    <row r="107" spans="1:14" s="105" customFormat="1" ht="14">
      <c r="A107" s="239"/>
      <c r="B107" s="273" t="s">
        <v>117</v>
      </c>
      <c r="C107" s="402">
        <f t="shared" si="6"/>
        <v>17096.489999999998</v>
      </c>
      <c r="D107" s="403">
        <f t="shared" si="7"/>
        <v>14282</v>
      </c>
      <c r="E107" s="403">
        <v>3670.37</v>
      </c>
      <c r="F107" s="403">
        <v>4020.2</v>
      </c>
      <c r="G107" s="403">
        <v>6529.67</v>
      </c>
      <c r="H107" s="403">
        <v>61.76</v>
      </c>
      <c r="I107" s="301">
        <f t="shared" si="8"/>
        <v>273.31</v>
      </c>
      <c r="J107" s="403">
        <v>120.32</v>
      </c>
      <c r="K107" s="403">
        <v>152.99</v>
      </c>
      <c r="L107" s="403">
        <v>2541.1799999999998</v>
      </c>
      <c r="M107" s="104"/>
      <c r="N107" s="104"/>
    </row>
    <row r="108" spans="1:14" s="105" customFormat="1" ht="14">
      <c r="A108" s="239"/>
      <c r="B108" s="273" t="s">
        <v>112</v>
      </c>
      <c r="C108" s="402">
        <f t="shared" si="6"/>
        <v>16891.02</v>
      </c>
      <c r="D108" s="403">
        <f t="shared" si="7"/>
        <v>14008.51</v>
      </c>
      <c r="E108" s="403">
        <v>3595.48</v>
      </c>
      <c r="F108" s="403">
        <v>4015.69</v>
      </c>
      <c r="G108" s="403">
        <v>6332.23</v>
      </c>
      <c r="H108" s="403">
        <v>65.11</v>
      </c>
      <c r="I108" s="301">
        <f t="shared" si="8"/>
        <v>284.96000000000004</v>
      </c>
      <c r="J108" s="403">
        <v>141.86000000000001</v>
      </c>
      <c r="K108" s="403">
        <v>143.1</v>
      </c>
      <c r="L108" s="403">
        <v>2597.5500000000002</v>
      </c>
      <c r="M108" s="104"/>
      <c r="N108" s="104"/>
    </row>
    <row r="109" spans="1:14" s="105" customFormat="1" ht="14">
      <c r="A109" s="239"/>
      <c r="B109" s="273" t="s">
        <v>113</v>
      </c>
      <c r="C109" s="402">
        <f t="shared" si="6"/>
        <v>16853.629999999997</v>
      </c>
      <c r="D109" s="403">
        <f t="shared" si="7"/>
        <v>13925.179999999998</v>
      </c>
      <c r="E109" s="403">
        <v>4363.3500000000004</v>
      </c>
      <c r="F109" s="403">
        <v>3944.63</v>
      </c>
      <c r="G109" s="403">
        <v>5548.23</v>
      </c>
      <c r="H109" s="403">
        <v>68.97</v>
      </c>
      <c r="I109" s="301">
        <f t="shared" si="8"/>
        <v>339.18</v>
      </c>
      <c r="J109" s="403">
        <v>119.02</v>
      </c>
      <c r="K109" s="403">
        <v>220.16</v>
      </c>
      <c r="L109" s="403">
        <v>2589.27</v>
      </c>
      <c r="M109" s="104"/>
      <c r="N109" s="104"/>
    </row>
    <row r="110" spans="1:14" s="105" customFormat="1" ht="14">
      <c r="A110" s="239"/>
      <c r="B110" s="273" t="s">
        <v>114</v>
      </c>
      <c r="C110" s="327">
        <f t="shared" si="6"/>
        <v>16185.300000000001</v>
      </c>
      <c r="D110" s="327">
        <f t="shared" si="7"/>
        <v>13466.77</v>
      </c>
      <c r="E110" s="327">
        <v>3700.83</v>
      </c>
      <c r="F110" s="327">
        <v>3993.96</v>
      </c>
      <c r="G110" s="327">
        <v>5706.5</v>
      </c>
      <c r="H110" s="327">
        <v>65.48</v>
      </c>
      <c r="I110" s="290">
        <f t="shared" si="8"/>
        <v>230.11</v>
      </c>
      <c r="J110" s="327">
        <v>104.72</v>
      </c>
      <c r="K110" s="327">
        <v>125.39</v>
      </c>
      <c r="L110" s="327">
        <v>2488.42</v>
      </c>
      <c r="M110" s="104"/>
      <c r="N110" s="104"/>
    </row>
    <row r="111" spans="1:14" s="105" customFormat="1" ht="14">
      <c r="A111" s="239"/>
      <c r="B111" s="273" t="s">
        <v>115</v>
      </c>
      <c r="C111" s="327">
        <f t="shared" si="6"/>
        <v>16286.3</v>
      </c>
      <c r="D111" s="327">
        <f t="shared" si="7"/>
        <v>13457.039999999999</v>
      </c>
      <c r="E111" s="327">
        <v>3713.31</v>
      </c>
      <c r="F111" s="327">
        <v>3997.03</v>
      </c>
      <c r="G111" s="327">
        <v>5681.96</v>
      </c>
      <c r="H111" s="327">
        <v>64.739999999999995</v>
      </c>
      <c r="I111" s="290">
        <f t="shared" si="8"/>
        <v>310.94</v>
      </c>
      <c r="J111" s="327">
        <v>103.77</v>
      </c>
      <c r="K111" s="327">
        <v>207.17</v>
      </c>
      <c r="L111" s="327">
        <v>2518.3200000000002</v>
      </c>
      <c r="M111" s="104"/>
      <c r="N111" s="104"/>
    </row>
    <row r="112" spans="1:14" s="105" customFormat="1" ht="14">
      <c r="A112" s="240"/>
      <c r="B112" s="274" t="s">
        <v>116</v>
      </c>
      <c r="C112" s="329">
        <f t="shared" si="6"/>
        <v>18608.560000000001</v>
      </c>
      <c r="D112" s="329">
        <f t="shared" si="7"/>
        <v>15496.18</v>
      </c>
      <c r="E112" s="329">
        <v>4386.57</v>
      </c>
      <c r="F112" s="329">
        <v>3997.63</v>
      </c>
      <c r="G112" s="329">
        <v>6346.41</v>
      </c>
      <c r="H112" s="329">
        <v>765.57</v>
      </c>
      <c r="I112" s="293">
        <f t="shared" si="8"/>
        <v>410.81</v>
      </c>
      <c r="J112" s="329">
        <v>120.29</v>
      </c>
      <c r="K112" s="329">
        <v>290.52</v>
      </c>
      <c r="L112" s="329">
        <v>2701.57</v>
      </c>
      <c r="M112" s="104"/>
      <c r="N112" s="104"/>
    </row>
    <row r="113" spans="1:14" s="105" customFormat="1" ht="14">
      <c r="A113" s="238">
        <v>2020</v>
      </c>
      <c r="B113" s="272" t="s">
        <v>105</v>
      </c>
      <c r="C113" s="332">
        <f t="shared" si="6"/>
        <v>17678.436951800977</v>
      </c>
      <c r="D113" s="332">
        <f t="shared" si="7"/>
        <v>14571.426011923548</v>
      </c>
      <c r="E113" s="332">
        <v>3827.9982581908534</v>
      </c>
      <c r="F113" s="332">
        <v>3957.3161147083606</v>
      </c>
      <c r="G113" s="332">
        <v>6727.8178352990853</v>
      </c>
      <c r="H113" s="332">
        <v>58.293803725247983</v>
      </c>
      <c r="I113" s="287">
        <f t="shared" si="8"/>
        <v>474.44917055886094</v>
      </c>
      <c r="J113" s="332">
        <v>117.58773775</v>
      </c>
      <c r="K113" s="332">
        <v>356.86143280886097</v>
      </c>
      <c r="L113" s="332">
        <v>2632.5617693185704</v>
      </c>
      <c r="M113" s="104"/>
      <c r="N113" s="104"/>
    </row>
    <row r="114" spans="1:14" s="105" customFormat="1" ht="14">
      <c r="A114" s="239"/>
      <c r="B114" s="273" t="s">
        <v>106</v>
      </c>
      <c r="C114" s="327">
        <f t="shared" si="6"/>
        <v>17243.117260896062</v>
      </c>
      <c r="D114" s="327">
        <f t="shared" si="7"/>
        <v>14062.354343417333</v>
      </c>
      <c r="E114" s="327">
        <v>3840.066487545198</v>
      </c>
      <c r="F114" s="327">
        <v>3999.2710343949275</v>
      </c>
      <c r="G114" s="327">
        <v>6165.6830920129705</v>
      </c>
      <c r="H114" s="327">
        <v>57.333729464236121</v>
      </c>
      <c r="I114" s="290">
        <f t="shared" si="8"/>
        <v>491.42320260522888</v>
      </c>
      <c r="J114" s="327">
        <v>122.01748555999998</v>
      </c>
      <c r="K114" s="327">
        <v>369.40571704522893</v>
      </c>
      <c r="L114" s="327">
        <v>2689.3397148734994</v>
      </c>
      <c r="M114" s="104"/>
      <c r="N114" s="104"/>
    </row>
    <row r="115" spans="1:14" s="105" customFormat="1" ht="14">
      <c r="A115" s="239"/>
      <c r="B115" s="251" t="s">
        <v>107</v>
      </c>
      <c r="C115" s="327">
        <f>D115+I115+L115</f>
        <v>17942.552103438917</v>
      </c>
      <c r="D115" s="327">
        <f>E115+F115+G115+H115</f>
        <v>14615.314043156413</v>
      </c>
      <c r="E115" s="327">
        <v>5012.2848819798473</v>
      </c>
      <c r="F115" s="327">
        <v>4039.5865755358573</v>
      </c>
      <c r="G115" s="327">
        <v>5502.2482387915607</v>
      </c>
      <c r="H115" s="327">
        <v>61.194346849148097</v>
      </c>
      <c r="I115" s="290">
        <f t="shared" si="8"/>
        <v>689.3737328753615</v>
      </c>
      <c r="J115" s="327">
        <v>84.390134089999989</v>
      </c>
      <c r="K115" s="327">
        <v>604.98359878536155</v>
      </c>
      <c r="L115" s="327">
        <v>2637.864327407141</v>
      </c>
      <c r="M115" s="104"/>
      <c r="N115" s="104"/>
    </row>
    <row r="116" spans="1:14" s="105" customFormat="1" ht="14">
      <c r="A116" s="239"/>
      <c r="B116" s="273" t="s">
        <v>108</v>
      </c>
      <c r="C116" s="328">
        <f>D116+I116+L116</f>
        <v>17762.587603853928</v>
      </c>
      <c r="D116" s="327">
        <f>E116+F116+G116+H116</f>
        <v>14494.870854491106</v>
      </c>
      <c r="E116" s="327">
        <v>4370.6049173379752</v>
      </c>
      <c r="F116" s="327">
        <v>4044.6179839919405</v>
      </c>
      <c r="G116" s="327">
        <v>6024.1774678594284</v>
      </c>
      <c r="H116" s="327">
        <v>55.470485301762018</v>
      </c>
      <c r="I116" s="290">
        <f t="shared" si="8"/>
        <v>625.27675620424395</v>
      </c>
      <c r="J116" s="327">
        <v>60.920561190000008</v>
      </c>
      <c r="K116" s="327">
        <v>564.35619501424389</v>
      </c>
      <c r="L116" s="327">
        <v>2642.4399931585772</v>
      </c>
      <c r="M116" s="104"/>
      <c r="N116" s="104"/>
    </row>
    <row r="117" spans="1:14" s="105" customFormat="1" ht="14">
      <c r="A117" s="239"/>
      <c r="B117" s="273" t="s">
        <v>109</v>
      </c>
      <c r="C117" s="328">
        <f>D117+I117+L117</f>
        <v>19491.766365793341</v>
      </c>
      <c r="D117" s="327">
        <f>E117+F117+G117+H117</f>
        <v>16209.8463997852</v>
      </c>
      <c r="E117" s="327">
        <v>4351.7923148583268</v>
      </c>
      <c r="F117" s="327">
        <v>4128.239053169038</v>
      </c>
      <c r="G117" s="327">
        <v>7674.0905739457821</v>
      </c>
      <c r="H117" s="327">
        <v>55.724457812052805</v>
      </c>
      <c r="I117" s="290">
        <f t="shared" si="8"/>
        <v>643.51903079304338</v>
      </c>
      <c r="J117" s="327">
        <v>111.82935343</v>
      </c>
      <c r="K117" s="327">
        <v>531.68967736304342</v>
      </c>
      <c r="L117" s="327">
        <v>2638.4009352150965</v>
      </c>
      <c r="M117" s="104"/>
      <c r="N117" s="104"/>
    </row>
    <row r="118" spans="1:14" s="105" customFormat="1" ht="14">
      <c r="A118" s="239"/>
      <c r="B118" s="273" t="s">
        <v>110</v>
      </c>
      <c r="C118" s="328">
        <f>D118+I118+L118</f>
        <v>17595.565262882563</v>
      </c>
      <c r="D118" s="327">
        <f>E118+F118+G118+H118</f>
        <v>14249.756537651643</v>
      </c>
      <c r="E118" s="327">
        <v>4794.9036747303389</v>
      </c>
      <c r="F118" s="327">
        <v>4278.4456466145393</v>
      </c>
      <c r="G118" s="327">
        <v>5123.5390344204616</v>
      </c>
      <c r="H118" s="327">
        <v>52.868181886305052</v>
      </c>
      <c r="I118" s="290">
        <f t="shared" si="8"/>
        <v>678.65068488535792</v>
      </c>
      <c r="J118" s="327">
        <v>153.34926675999998</v>
      </c>
      <c r="K118" s="327">
        <v>525.30141812535794</v>
      </c>
      <c r="L118" s="327">
        <v>2667.15804034556</v>
      </c>
      <c r="M118" s="104"/>
      <c r="N118" s="104"/>
    </row>
    <row r="119" spans="1:14" s="105" customFormat="1" ht="14">
      <c r="A119" s="239"/>
      <c r="B119" s="273" t="s">
        <v>117</v>
      </c>
      <c r="C119" s="327">
        <f t="shared" ref="C119:C139" si="9">D119+I119+L119</f>
        <v>17652.139497805383</v>
      </c>
      <c r="D119" s="327">
        <f t="shared" ref="D119:D139" si="10">E119+F119+G119+H119</f>
        <v>14145.790437569709</v>
      </c>
      <c r="E119" s="327">
        <v>4641.1035193568532</v>
      </c>
      <c r="F119" s="327">
        <v>4234.1546665331034</v>
      </c>
      <c r="G119" s="327">
        <v>5164.7909648235454</v>
      </c>
      <c r="H119" s="327">
        <v>105.74128685620518</v>
      </c>
      <c r="I119" s="290">
        <f t="shared" si="8"/>
        <v>923.61520387707185</v>
      </c>
      <c r="J119" s="327">
        <v>181.10726206999996</v>
      </c>
      <c r="K119" s="327">
        <v>742.50794180707192</v>
      </c>
      <c r="L119" s="327">
        <v>2582.7338563586027</v>
      </c>
      <c r="M119" s="104"/>
      <c r="N119" s="104"/>
    </row>
    <row r="120" spans="1:14" s="105" customFormat="1" ht="14">
      <c r="A120" s="239"/>
      <c r="B120" s="273" t="s">
        <v>112</v>
      </c>
      <c r="C120" s="327">
        <f t="shared" si="9"/>
        <v>17882.655060413519</v>
      </c>
      <c r="D120" s="327">
        <f t="shared" si="10"/>
        <v>14218.195360669733</v>
      </c>
      <c r="E120" s="327">
        <v>4638.4157524589928</v>
      </c>
      <c r="F120" s="327">
        <v>4254.560776363096</v>
      </c>
      <c r="G120" s="327">
        <v>5218.3204000530604</v>
      </c>
      <c r="H120" s="327">
        <v>106.89843179458596</v>
      </c>
      <c r="I120" s="290">
        <f t="shared" si="8"/>
        <v>1037.7267779950466</v>
      </c>
      <c r="J120" s="327">
        <v>213.62845513000005</v>
      </c>
      <c r="K120" s="327">
        <v>824.0983228650465</v>
      </c>
      <c r="L120" s="327">
        <v>2626.7329217487386</v>
      </c>
      <c r="M120" s="104"/>
      <c r="N120" s="104"/>
    </row>
    <row r="121" spans="1:14" s="105" customFormat="1" ht="14">
      <c r="A121" s="239"/>
      <c r="B121" s="273" t="s">
        <v>113</v>
      </c>
      <c r="C121" s="327">
        <f t="shared" si="9"/>
        <v>17912.367939834221</v>
      </c>
      <c r="D121" s="327">
        <f t="shared" si="10"/>
        <v>14198.26032348648</v>
      </c>
      <c r="E121" s="327">
        <v>4515.7556908678607</v>
      </c>
      <c r="F121" s="327">
        <v>4258.5370283156262</v>
      </c>
      <c r="G121" s="327">
        <v>5317.1050020780312</v>
      </c>
      <c r="H121" s="327">
        <v>106.86260222496195</v>
      </c>
      <c r="I121" s="290">
        <f t="shared" si="8"/>
        <v>1080.0410661875001</v>
      </c>
      <c r="J121" s="327">
        <v>191.72921630000002</v>
      </c>
      <c r="K121" s="327">
        <v>888.31184988749999</v>
      </c>
      <c r="L121" s="327">
        <v>2634.0665501602407</v>
      </c>
      <c r="M121" s="104"/>
      <c r="N121" s="104"/>
    </row>
    <row r="122" spans="1:14" s="105" customFormat="1" ht="14">
      <c r="A122" s="239"/>
      <c r="B122" s="273" t="s">
        <v>114</v>
      </c>
      <c r="C122" s="328">
        <f t="shared" si="9"/>
        <v>18124.127184391611</v>
      </c>
      <c r="D122" s="327">
        <f t="shared" si="10"/>
        <v>14299.887822796982</v>
      </c>
      <c r="E122" s="327">
        <v>4491.7127873854533</v>
      </c>
      <c r="F122" s="327">
        <v>4352.973111338184</v>
      </c>
      <c r="G122" s="327">
        <v>5349.3520904181214</v>
      </c>
      <c r="H122" s="327">
        <v>105.849833655224</v>
      </c>
      <c r="I122" s="290">
        <f t="shared" si="8"/>
        <v>1155.6220927486122</v>
      </c>
      <c r="J122" s="327">
        <v>188.698746</v>
      </c>
      <c r="K122" s="327">
        <v>966.92334674861218</v>
      </c>
      <c r="L122" s="327">
        <v>2668.6172688460174</v>
      </c>
      <c r="M122" s="104"/>
      <c r="N122" s="104"/>
    </row>
    <row r="123" spans="1:14" s="105" customFormat="1" ht="14">
      <c r="A123" s="239"/>
      <c r="B123" s="273" t="s">
        <v>115</v>
      </c>
      <c r="C123" s="328">
        <f t="shared" si="9"/>
        <v>18125.900455110357</v>
      </c>
      <c r="D123" s="327">
        <f t="shared" si="10"/>
        <v>14339.258711809056</v>
      </c>
      <c r="E123" s="327">
        <v>4826.5763722772454</v>
      </c>
      <c r="F123" s="327">
        <v>4309.8108948149456</v>
      </c>
      <c r="G123" s="327">
        <v>5118.9405013359028</v>
      </c>
      <c r="H123" s="327">
        <v>83.930943380961992</v>
      </c>
      <c r="I123" s="290">
        <f t="shared" si="8"/>
        <v>1134.2184740783721</v>
      </c>
      <c r="J123" s="327">
        <v>193.40885789000001</v>
      </c>
      <c r="K123" s="327">
        <v>940.80961618837205</v>
      </c>
      <c r="L123" s="327">
        <v>2652.4232692229302</v>
      </c>
      <c r="M123" s="104"/>
      <c r="N123" s="104"/>
    </row>
    <row r="124" spans="1:14" s="105" customFormat="1" ht="14">
      <c r="A124" s="240"/>
      <c r="B124" s="274" t="s">
        <v>116</v>
      </c>
      <c r="C124" s="330">
        <f t="shared" si="9"/>
        <v>18272.453892056168</v>
      </c>
      <c r="D124" s="329">
        <f t="shared" si="10"/>
        <v>14361.645541658434</v>
      </c>
      <c r="E124" s="329">
        <v>4596.3615841287838</v>
      </c>
      <c r="F124" s="329">
        <v>4594.5597343982772</v>
      </c>
      <c r="G124" s="329">
        <v>5089.0417940506086</v>
      </c>
      <c r="H124" s="329">
        <v>81.682429080764862</v>
      </c>
      <c r="I124" s="293">
        <f t="shared" si="8"/>
        <v>1218.6569613563381</v>
      </c>
      <c r="J124" s="329">
        <v>204.22025625999999</v>
      </c>
      <c r="K124" s="329">
        <v>1014.4367050963381</v>
      </c>
      <c r="L124" s="329">
        <v>2692.1513890413958</v>
      </c>
      <c r="M124" s="104"/>
      <c r="N124" s="104"/>
    </row>
    <row r="125" spans="1:14" s="105" customFormat="1" ht="14">
      <c r="A125" s="238">
        <v>2021</v>
      </c>
      <c r="B125" s="272" t="s">
        <v>105</v>
      </c>
      <c r="C125" s="333">
        <f t="shared" si="9"/>
        <v>17508.716880858883</v>
      </c>
      <c r="D125" s="332">
        <f t="shared" si="10"/>
        <v>14036.311807496695</v>
      </c>
      <c r="E125" s="332">
        <v>4417.9635136620791</v>
      </c>
      <c r="F125" s="332">
        <v>4344.3263380059016</v>
      </c>
      <c r="G125" s="332">
        <v>5192.3860889660709</v>
      </c>
      <c r="H125" s="332">
        <v>81.635866862642104</v>
      </c>
      <c r="I125" s="287">
        <f t="shared" si="8"/>
        <v>716.25763825282695</v>
      </c>
      <c r="J125" s="332">
        <v>201.95409633</v>
      </c>
      <c r="K125" s="332">
        <v>514.30354192282698</v>
      </c>
      <c r="L125" s="332">
        <v>2756.1474351093598</v>
      </c>
      <c r="M125" s="104"/>
      <c r="N125" s="104"/>
    </row>
    <row r="126" spans="1:14" s="105" customFormat="1" ht="14">
      <c r="A126" s="239"/>
      <c r="B126" s="273" t="s">
        <v>106</v>
      </c>
      <c r="C126" s="328">
        <f t="shared" si="9"/>
        <v>17584.821029195024</v>
      </c>
      <c r="D126" s="327">
        <f t="shared" si="10"/>
        <v>14088.685833677469</v>
      </c>
      <c r="E126" s="327">
        <v>4311.8027483356846</v>
      </c>
      <c r="F126" s="327">
        <v>4416.9609618141149</v>
      </c>
      <c r="G126" s="327">
        <v>5260.9815604310033</v>
      </c>
      <c r="H126" s="327">
        <v>98.940563096666068</v>
      </c>
      <c r="I126" s="290">
        <f t="shared" si="8"/>
        <v>756.76816980084709</v>
      </c>
      <c r="J126" s="327">
        <v>192.14268819</v>
      </c>
      <c r="K126" s="327">
        <v>564.62548161084703</v>
      </c>
      <c r="L126" s="327">
        <v>2739.3670257167082</v>
      </c>
      <c r="M126" s="104"/>
      <c r="N126" s="104"/>
    </row>
    <row r="127" spans="1:14" s="105" customFormat="1" ht="14">
      <c r="A127" s="239"/>
      <c r="B127" s="273" t="s">
        <v>107</v>
      </c>
      <c r="C127" s="328">
        <f t="shared" si="9"/>
        <v>18088.184082631975</v>
      </c>
      <c r="D127" s="327">
        <f t="shared" si="10"/>
        <v>14421.571565279601</v>
      </c>
      <c r="E127" s="327">
        <v>4747.4141589436522</v>
      </c>
      <c r="F127" s="327">
        <v>4415.9831607305432</v>
      </c>
      <c r="G127" s="327">
        <v>5169.9976026153281</v>
      </c>
      <c r="H127" s="327">
        <v>88.176642990076985</v>
      </c>
      <c r="I127" s="290">
        <f t="shared" si="8"/>
        <v>930.88984454321201</v>
      </c>
      <c r="J127" s="327">
        <v>190.87110797000003</v>
      </c>
      <c r="K127" s="327">
        <v>740.01873657321198</v>
      </c>
      <c r="L127" s="327">
        <v>2735.7226728091637</v>
      </c>
      <c r="M127" s="104"/>
      <c r="N127" s="104"/>
    </row>
    <row r="128" spans="1:14" s="105" customFormat="1" ht="14">
      <c r="A128" s="239"/>
      <c r="B128" s="273" t="s">
        <v>108</v>
      </c>
      <c r="C128" s="328">
        <f t="shared" si="9"/>
        <v>18086.068201780989</v>
      </c>
      <c r="D128" s="327">
        <f t="shared" si="10"/>
        <v>14685.715295679651</v>
      </c>
      <c r="E128" s="327">
        <v>4441.6138646381205</v>
      </c>
      <c r="F128" s="327">
        <v>4339.4642933053947</v>
      </c>
      <c r="G128" s="327">
        <v>5814.4887354758175</v>
      </c>
      <c r="H128" s="327">
        <v>90.148402260318903</v>
      </c>
      <c r="I128" s="290">
        <f t="shared" si="8"/>
        <v>677.49581647019909</v>
      </c>
      <c r="J128" s="327">
        <v>148.40918037000003</v>
      </c>
      <c r="K128" s="327">
        <v>529.08663610019903</v>
      </c>
      <c r="L128" s="327">
        <v>2722.8570896311408</v>
      </c>
      <c r="M128" s="104"/>
      <c r="N128" s="104"/>
    </row>
    <row r="129" spans="1:14" s="105" customFormat="1" ht="14">
      <c r="A129" s="239"/>
      <c r="B129" s="273" t="s">
        <v>109</v>
      </c>
      <c r="C129" s="328">
        <f t="shared" si="9"/>
        <v>18147.082060232362</v>
      </c>
      <c r="D129" s="327">
        <f t="shared" si="10"/>
        <v>14403.582502085901</v>
      </c>
      <c r="E129" s="327">
        <v>4379.9372517611919</v>
      </c>
      <c r="F129" s="327">
        <v>4347.7630836884791</v>
      </c>
      <c r="G129" s="327">
        <v>5593.9352923625866</v>
      </c>
      <c r="H129" s="327">
        <v>81.94687427364498</v>
      </c>
      <c r="I129" s="290">
        <f t="shared" si="8"/>
        <v>992.69176974864797</v>
      </c>
      <c r="J129" s="327">
        <v>200.85658497</v>
      </c>
      <c r="K129" s="327">
        <v>791.835184778648</v>
      </c>
      <c r="L129" s="327">
        <v>2750.8077883978117</v>
      </c>
      <c r="M129" s="104"/>
      <c r="N129" s="104"/>
    </row>
    <row r="130" spans="1:14" s="105" customFormat="1" ht="14">
      <c r="A130" s="239"/>
      <c r="B130" s="273" t="s">
        <v>110</v>
      </c>
      <c r="C130" s="328">
        <f t="shared" si="9"/>
        <v>18567.196090609203</v>
      </c>
      <c r="D130" s="327">
        <f t="shared" si="10"/>
        <v>15075.903753905253</v>
      </c>
      <c r="E130" s="327">
        <v>4919.1584416160649</v>
      </c>
      <c r="F130" s="327">
        <v>4390.2865803009554</v>
      </c>
      <c r="G130" s="327">
        <v>5681.3985219255874</v>
      </c>
      <c r="H130" s="327">
        <v>85.060210062643989</v>
      </c>
      <c r="I130" s="290">
        <f t="shared" si="8"/>
        <v>697.62236974707548</v>
      </c>
      <c r="J130" s="327">
        <v>148.81334236999999</v>
      </c>
      <c r="K130" s="327">
        <v>548.80902737707549</v>
      </c>
      <c r="L130" s="327">
        <v>2793.6699669568725</v>
      </c>
      <c r="M130" s="104"/>
      <c r="N130" s="104"/>
    </row>
    <row r="131" spans="1:14" s="105" customFormat="1" ht="14">
      <c r="A131" s="239"/>
      <c r="B131" s="273" t="s">
        <v>117</v>
      </c>
      <c r="C131" s="328">
        <f t="shared" si="9"/>
        <v>18437.262946767078</v>
      </c>
      <c r="D131" s="327">
        <f t="shared" si="10"/>
        <v>15059.439825778831</v>
      </c>
      <c r="E131" s="327">
        <v>4440.2043157320913</v>
      </c>
      <c r="F131" s="327">
        <v>4498.0181081550427</v>
      </c>
      <c r="G131" s="327">
        <v>6032.1015132414941</v>
      </c>
      <c r="H131" s="327">
        <v>89.115888650201981</v>
      </c>
      <c r="I131" s="290">
        <f t="shared" si="8"/>
        <v>579.60608064413202</v>
      </c>
      <c r="J131" s="327">
        <v>144.14340497000001</v>
      </c>
      <c r="K131" s="327">
        <v>435.46267567413202</v>
      </c>
      <c r="L131" s="327">
        <v>2798.217040344115</v>
      </c>
      <c r="M131" s="104"/>
      <c r="N131" s="104"/>
    </row>
    <row r="132" spans="1:14" s="105" customFormat="1" ht="14">
      <c r="A132" s="239"/>
      <c r="B132" s="273" t="s">
        <v>112</v>
      </c>
      <c r="C132" s="328">
        <f t="shared" si="9"/>
        <v>18480.431125598872</v>
      </c>
      <c r="D132" s="327">
        <f t="shared" si="10"/>
        <v>14985.716813881072</v>
      </c>
      <c r="E132" s="327">
        <v>4562.6540204055109</v>
      </c>
      <c r="F132" s="327">
        <v>4471.4933314925602</v>
      </c>
      <c r="G132" s="327">
        <v>5874.5615521633508</v>
      </c>
      <c r="H132" s="327">
        <v>77.007909819650095</v>
      </c>
      <c r="I132" s="290">
        <f t="shared" si="8"/>
        <v>419.79597094897002</v>
      </c>
      <c r="J132" s="327">
        <v>144.18241023000002</v>
      </c>
      <c r="K132" s="327">
        <v>275.61356071897001</v>
      </c>
      <c r="L132" s="327">
        <v>3074.9183407688315</v>
      </c>
      <c r="M132" s="104"/>
      <c r="N132" s="104"/>
    </row>
    <row r="133" spans="1:14" s="105" customFormat="1" ht="14">
      <c r="A133" s="239"/>
      <c r="B133" s="273" t="s">
        <v>113</v>
      </c>
      <c r="C133" s="328">
        <f t="shared" si="9"/>
        <v>19213.344900030639</v>
      </c>
      <c r="D133" s="327">
        <f t="shared" si="10"/>
        <v>15924.739990670923</v>
      </c>
      <c r="E133" s="327">
        <v>5572.7768805664064</v>
      </c>
      <c r="F133" s="327">
        <v>4475.7446819423831</v>
      </c>
      <c r="G133" s="327">
        <v>5786.6300072557324</v>
      </c>
      <c r="H133" s="327">
        <v>89.588420906400046</v>
      </c>
      <c r="I133" s="290">
        <f t="shared" si="8"/>
        <v>503.953724586975</v>
      </c>
      <c r="J133" s="327">
        <v>146.15989038999999</v>
      </c>
      <c r="K133" s="327">
        <v>357.79383419697501</v>
      </c>
      <c r="L133" s="327">
        <v>2784.6511847727402</v>
      </c>
      <c r="M133" s="104"/>
      <c r="N133" s="104"/>
    </row>
    <row r="134" spans="1:14" s="105" customFormat="1" ht="14">
      <c r="A134" s="239"/>
      <c r="B134" s="273" t="s">
        <v>114</v>
      </c>
      <c r="C134" s="328">
        <f t="shared" si="9"/>
        <v>18469.72333991648</v>
      </c>
      <c r="D134" s="327">
        <f t="shared" si="10"/>
        <v>15043.270108643301</v>
      </c>
      <c r="E134" s="327">
        <v>4666.0421487948643</v>
      </c>
      <c r="F134" s="327">
        <v>4392.2141548106456</v>
      </c>
      <c r="G134" s="327">
        <v>5902.7711525077557</v>
      </c>
      <c r="H134" s="327">
        <v>82.242652530033922</v>
      </c>
      <c r="I134" s="290">
        <f t="shared" si="8"/>
        <v>702.96233800235996</v>
      </c>
      <c r="J134" s="327">
        <v>133.8967471</v>
      </c>
      <c r="K134" s="327">
        <v>569.06559090235999</v>
      </c>
      <c r="L134" s="327">
        <v>2723.490893270819</v>
      </c>
      <c r="M134" s="104"/>
      <c r="N134" s="104"/>
    </row>
    <row r="135" spans="1:14" s="105" customFormat="1" ht="14">
      <c r="A135" s="239"/>
      <c r="B135" s="273" t="s">
        <v>115</v>
      </c>
      <c r="C135" s="328">
        <f t="shared" si="9"/>
        <v>18393.823442155852</v>
      </c>
      <c r="D135" s="327">
        <f t="shared" si="10"/>
        <v>14925.937229191248</v>
      </c>
      <c r="E135" s="327">
        <v>4914.906828485493</v>
      </c>
      <c r="F135" s="327">
        <v>4358.0188349368482</v>
      </c>
      <c r="G135" s="327">
        <v>5566.8308947970982</v>
      </c>
      <c r="H135" s="327">
        <v>86.180670971807956</v>
      </c>
      <c r="I135" s="290">
        <f t="shared" si="8"/>
        <v>681.79496767222906</v>
      </c>
      <c r="J135" s="327">
        <v>142.11639661000001</v>
      </c>
      <c r="K135" s="327">
        <v>539.67857106222903</v>
      </c>
      <c r="L135" s="327">
        <v>2786.0912452923731</v>
      </c>
      <c r="M135" s="104"/>
      <c r="N135" s="104"/>
    </row>
    <row r="136" spans="1:14" s="105" customFormat="1" ht="14">
      <c r="A136" s="240"/>
      <c r="B136" s="274" t="s">
        <v>116</v>
      </c>
      <c r="C136" s="330">
        <f t="shared" si="9"/>
        <v>19361.894232375547</v>
      </c>
      <c r="D136" s="329">
        <f t="shared" si="10"/>
        <v>16079.341565176666</v>
      </c>
      <c r="E136" s="329">
        <v>5926.2402941038781</v>
      </c>
      <c r="F136" s="329">
        <v>4559.4184814755517</v>
      </c>
      <c r="G136" s="329">
        <v>5502.0306559675901</v>
      </c>
      <c r="H136" s="329">
        <v>91.65213362964721</v>
      </c>
      <c r="I136" s="293">
        <f t="shared" si="8"/>
        <v>540.175746222052</v>
      </c>
      <c r="J136" s="329">
        <v>162.52854803</v>
      </c>
      <c r="K136" s="329">
        <v>377.64719819205203</v>
      </c>
      <c r="L136" s="329">
        <v>2742.376920976827</v>
      </c>
      <c r="M136" s="104"/>
      <c r="N136" s="104"/>
    </row>
    <row r="137" spans="1:14" s="105" customFormat="1" ht="14">
      <c r="A137" s="238">
        <v>2022</v>
      </c>
      <c r="B137" s="272" t="s">
        <v>105</v>
      </c>
      <c r="C137" s="332">
        <f t="shared" si="9"/>
        <v>19152.550563839894</v>
      </c>
      <c r="D137" s="332">
        <f t="shared" si="10"/>
        <v>15875.75986237783</v>
      </c>
      <c r="E137" s="332">
        <v>4858.4871375094781</v>
      </c>
      <c r="F137" s="332">
        <v>4516.4404957899069</v>
      </c>
      <c r="G137" s="332">
        <v>6406.927976816728</v>
      </c>
      <c r="H137" s="332">
        <v>93.90425226171898</v>
      </c>
      <c r="I137" s="287">
        <f t="shared" si="8"/>
        <v>482.006828340352</v>
      </c>
      <c r="J137" s="332">
        <v>84.181665210000006</v>
      </c>
      <c r="K137" s="332">
        <v>397.825163130352</v>
      </c>
      <c r="L137" s="332">
        <v>2794.7838731217093</v>
      </c>
      <c r="M137" s="104"/>
      <c r="N137" s="104"/>
    </row>
    <row r="138" spans="1:14" s="105" customFormat="1" ht="14">
      <c r="A138" s="239"/>
      <c r="B138" s="273" t="s">
        <v>106</v>
      </c>
      <c r="C138" s="327">
        <f t="shared" si="9"/>
        <v>18674.831531035677</v>
      </c>
      <c r="D138" s="327">
        <f t="shared" si="10"/>
        <v>15377.107114970835</v>
      </c>
      <c r="E138" s="327">
        <v>4860.5332082275336</v>
      </c>
      <c r="F138" s="327">
        <v>4578.8991470292067</v>
      </c>
      <c r="G138" s="327">
        <v>5840.4857292414881</v>
      </c>
      <c r="H138" s="327">
        <v>97.189030472605722</v>
      </c>
      <c r="I138" s="290">
        <f t="shared" si="8"/>
        <v>503.40173485405006</v>
      </c>
      <c r="J138" s="327">
        <v>40.577037190000006</v>
      </c>
      <c r="K138" s="327">
        <v>462.82469766405006</v>
      </c>
      <c r="L138" s="327">
        <v>2794.3226812107941</v>
      </c>
      <c r="M138" s="104"/>
      <c r="N138" s="104"/>
    </row>
    <row r="139" spans="1:14" s="105" customFormat="1" ht="14">
      <c r="A139" s="239"/>
      <c r="B139" s="273" t="s">
        <v>107</v>
      </c>
      <c r="C139" s="327">
        <f t="shared" si="9"/>
        <v>19767.178152835877</v>
      </c>
      <c r="D139" s="327">
        <f t="shared" si="10"/>
        <v>16651.688724953598</v>
      </c>
      <c r="E139" s="327">
        <v>6660.9608649557631</v>
      </c>
      <c r="F139" s="327">
        <v>4737.414755801432</v>
      </c>
      <c r="G139" s="327">
        <v>5157.6561991696099</v>
      </c>
      <c r="H139" s="327">
        <v>95.656905026792998</v>
      </c>
      <c r="I139" s="290">
        <f t="shared" si="8"/>
        <v>397.34978188448349</v>
      </c>
      <c r="J139" s="327">
        <v>47.585735040000003</v>
      </c>
      <c r="K139" s="327">
        <v>349.76404684448346</v>
      </c>
      <c r="L139" s="327">
        <v>2718.1396459977968</v>
      </c>
      <c r="M139" s="104"/>
      <c r="N139" s="104"/>
    </row>
    <row r="140" spans="1:14" s="105" customFormat="1" ht="14">
      <c r="A140" s="239"/>
      <c r="B140" s="273" t="s">
        <v>108</v>
      </c>
      <c r="C140" s="327">
        <f t="shared" ref="C140:C157" si="11">D140+I140+L140</f>
        <v>19038.795637337425</v>
      </c>
      <c r="D140" s="327">
        <f t="shared" ref="D140:D157" si="12">E140+F140+G140+H140</f>
        <v>15849.167565924556</v>
      </c>
      <c r="E140" s="327">
        <v>4961.1629840031437</v>
      </c>
      <c r="F140" s="327">
        <v>4590.6537259400411</v>
      </c>
      <c r="G140" s="327">
        <v>6199.9697558142971</v>
      </c>
      <c r="H140" s="327">
        <v>97.381100167072063</v>
      </c>
      <c r="I140" s="290">
        <f t="shared" si="8"/>
        <v>369.76403867450898</v>
      </c>
      <c r="J140" s="327">
        <v>58.11388888431901</v>
      </c>
      <c r="K140" s="327">
        <v>311.65014979018997</v>
      </c>
      <c r="L140" s="327">
        <v>2819.8640327383614</v>
      </c>
      <c r="M140" s="104"/>
      <c r="N140" s="104"/>
    </row>
    <row r="141" spans="1:14" s="105" customFormat="1" ht="14">
      <c r="A141" s="239"/>
      <c r="B141" s="273" t="s">
        <v>109</v>
      </c>
      <c r="C141" s="327">
        <f t="shared" si="11"/>
        <v>19186.379762814478</v>
      </c>
      <c r="D141" s="327">
        <f t="shared" si="12"/>
        <v>16014.262689480312</v>
      </c>
      <c r="E141" s="327">
        <v>5275.7946145820515</v>
      </c>
      <c r="F141" s="327">
        <v>4558.1350442869834</v>
      </c>
      <c r="G141" s="327">
        <v>6079.1602375699749</v>
      </c>
      <c r="H141" s="327">
        <v>101.17279304130302</v>
      </c>
      <c r="I141" s="290">
        <f t="shared" si="8"/>
        <v>366.780087969747</v>
      </c>
      <c r="J141" s="327">
        <v>75.637658889538997</v>
      </c>
      <c r="K141" s="327">
        <v>291.14242908020799</v>
      </c>
      <c r="L141" s="327">
        <v>2805.3369853644167</v>
      </c>
      <c r="M141" s="104"/>
      <c r="N141" s="104"/>
    </row>
    <row r="142" spans="1:14" s="105" customFormat="1" ht="14">
      <c r="A142" s="239"/>
      <c r="B142" s="273" t="s">
        <v>110</v>
      </c>
      <c r="C142" s="327">
        <f t="shared" si="11"/>
        <v>20267.405882708274</v>
      </c>
      <c r="D142" s="327">
        <f t="shared" si="12"/>
        <v>16687.962048660112</v>
      </c>
      <c r="E142" s="327">
        <v>5107.1910304461089</v>
      </c>
      <c r="F142" s="327">
        <v>4558.1375636202429</v>
      </c>
      <c r="G142" s="327">
        <v>6936.9235804043456</v>
      </c>
      <c r="H142" s="327">
        <v>85.709874189416638</v>
      </c>
      <c r="I142" s="290">
        <f t="shared" si="8"/>
        <v>716.23207758103445</v>
      </c>
      <c r="J142" s="327">
        <v>82.483978977060005</v>
      </c>
      <c r="K142" s="327">
        <v>633.74809860397443</v>
      </c>
      <c r="L142" s="327">
        <v>2863.211756467128</v>
      </c>
      <c r="M142" s="104"/>
      <c r="N142" s="104"/>
    </row>
    <row r="143" spans="1:14" s="105" customFormat="1" ht="14">
      <c r="A143" s="239"/>
      <c r="B143" s="273" t="s">
        <v>117</v>
      </c>
      <c r="C143" s="327">
        <f t="shared" si="11"/>
        <v>20042.359610945259</v>
      </c>
      <c r="D143" s="327">
        <f t="shared" si="12"/>
        <v>16887.186519797546</v>
      </c>
      <c r="E143" s="327">
        <v>4951.3997091692099</v>
      </c>
      <c r="F143" s="327">
        <v>4733.9394687412196</v>
      </c>
      <c r="G143" s="327">
        <v>7107.9451751258557</v>
      </c>
      <c r="H143" s="327">
        <v>93.902166761263274</v>
      </c>
      <c r="I143" s="290">
        <f t="shared" si="8"/>
        <v>278.39990373800947</v>
      </c>
      <c r="J143" s="327">
        <v>102.303813743592</v>
      </c>
      <c r="K143" s="327">
        <v>176.0960899944175</v>
      </c>
      <c r="L143" s="327">
        <v>2876.7731874097053</v>
      </c>
      <c r="M143" s="104"/>
      <c r="N143" s="104"/>
    </row>
    <row r="144" spans="1:14" s="105" customFormat="1" ht="14">
      <c r="A144" s="239"/>
      <c r="B144" s="273" t="s">
        <v>112</v>
      </c>
      <c r="C144" s="327">
        <f t="shared" si="11"/>
        <v>19360.532887400652</v>
      </c>
      <c r="D144" s="327">
        <f t="shared" si="12"/>
        <v>16179.478449582632</v>
      </c>
      <c r="E144" s="327">
        <v>4767.2326355711875</v>
      </c>
      <c r="F144" s="327">
        <v>4670.8204823525502</v>
      </c>
      <c r="G144" s="327">
        <v>6650.9281137032249</v>
      </c>
      <c r="H144" s="327">
        <v>90.497217955669996</v>
      </c>
      <c r="I144" s="290">
        <f t="shared" si="8"/>
        <v>305.55128510851199</v>
      </c>
      <c r="J144" s="327">
        <v>123.586543970544</v>
      </c>
      <c r="K144" s="327">
        <v>181.96474113796799</v>
      </c>
      <c r="L144" s="327">
        <v>2875.5031527095098</v>
      </c>
      <c r="M144" s="104"/>
      <c r="N144" s="104"/>
    </row>
    <row r="145" spans="1:14" s="105" customFormat="1" ht="14">
      <c r="A145" s="239"/>
      <c r="B145" s="273" t="s">
        <v>113</v>
      </c>
      <c r="C145" s="327">
        <f t="shared" si="11"/>
        <v>20817.777691606258</v>
      </c>
      <c r="D145" s="327">
        <f t="shared" si="12"/>
        <v>17557.005784538927</v>
      </c>
      <c r="E145" s="327">
        <v>6222.0967164826707</v>
      </c>
      <c r="F145" s="327">
        <v>4659.5243459029607</v>
      </c>
      <c r="G145" s="327">
        <v>6576.7409616777832</v>
      </c>
      <c r="H145" s="327">
        <v>98.643760475511073</v>
      </c>
      <c r="I145" s="290">
        <f t="shared" si="8"/>
        <v>270.010893065586</v>
      </c>
      <c r="J145" s="327">
        <v>112.49304796720099</v>
      </c>
      <c r="K145" s="327">
        <v>157.51784509838501</v>
      </c>
      <c r="L145" s="327">
        <v>2990.7610140017459</v>
      </c>
      <c r="M145" s="104"/>
      <c r="N145" s="104"/>
    </row>
    <row r="146" spans="1:14" s="105" customFormat="1" ht="14">
      <c r="A146" s="239"/>
      <c r="B146" s="273" t="s">
        <v>114</v>
      </c>
      <c r="C146" s="327">
        <f t="shared" si="11"/>
        <v>19950.629488253959</v>
      </c>
      <c r="D146" s="327">
        <f t="shared" si="12"/>
        <v>16841.999366949265</v>
      </c>
      <c r="E146" s="327">
        <v>4799.0477662523717</v>
      </c>
      <c r="F146" s="327">
        <v>4476.0463605714303</v>
      </c>
      <c r="G146" s="327">
        <v>7469.3503198631379</v>
      </c>
      <c r="H146" s="327">
        <v>97.554920262327002</v>
      </c>
      <c r="I146" s="290">
        <f t="shared" si="8"/>
        <v>274.29996160167303</v>
      </c>
      <c r="J146" s="327">
        <v>119.06128743158001</v>
      </c>
      <c r="K146" s="327">
        <v>155.23867417009302</v>
      </c>
      <c r="L146" s="327">
        <v>2834.3301597030213</v>
      </c>
      <c r="M146" s="104"/>
      <c r="N146" s="104"/>
    </row>
    <row r="147" spans="1:14" s="105" customFormat="1" ht="14">
      <c r="A147" s="239"/>
      <c r="B147" s="273" t="s">
        <v>115</v>
      </c>
      <c r="C147" s="327">
        <f t="shared" si="11"/>
        <v>19335.324756648886</v>
      </c>
      <c r="D147" s="327">
        <f t="shared" si="12"/>
        <v>16197.809126172122</v>
      </c>
      <c r="E147" s="327">
        <v>4750.3588269962265</v>
      </c>
      <c r="F147" s="327">
        <v>4467.3442393711784</v>
      </c>
      <c r="G147" s="327">
        <v>6891.8349961920112</v>
      </c>
      <c r="H147" s="327">
        <v>88.271063612706172</v>
      </c>
      <c r="I147" s="290">
        <f t="shared" ref="I147:I187" si="13">J147+K147</f>
        <v>245.00888670562705</v>
      </c>
      <c r="J147" s="327">
        <v>83.724032385627012</v>
      </c>
      <c r="K147" s="327">
        <v>161.28485432000002</v>
      </c>
      <c r="L147" s="327">
        <v>2892.5067437711355</v>
      </c>
      <c r="M147" s="104"/>
      <c r="N147" s="104"/>
    </row>
    <row r="148" spans="1:14" s="105" customFormat="1" ht="14">
      <c r="A148" s="240"/>
      <c r="B148" s="274" t="s">
        <v>116</v>
      </c>
      <c r="C148" s="329">
        <f t="shared" si="11"/>
        <v>20681.291078581831</v>
      </c>
      <c r="D148" s="329">
        <f t="shared" si="12"/>
        <v>17309.38226167285</v>
      </c>
      <c r="E148" s="329">
        <v>4885.0605794314688</v>
      </c>
      <c r="F148" s="329">
        <v>4637.0128662030438</v>
      </c>
      <c r="G148" s="329">
        <v>7704.374906718841</v>
      </c>
      <c r="H148" s="329">
        <v>82.933909319496038</v>
      </c>
      <c r="I148" s="293">
        <f t="shared" si="13"/>
        <v>285.39354743677399</v>
      </c>
      <c r="J148" s="329">
        <v>68.769129336774</v>
      </c>
      <c r="K148" s="329">
        <v>216.62441809999999</v>
      </c>
      <c r="L148" s="329">
        <v>3086.515269472206</v>
      </c>
      <c r="M148" s="104"/>
      <c r="N148" s="104"/>
    </row>
    <row r="149" spans="1:14" s="105" customFormat="1" ht="14">
      <c r="A149" s="238">
        <v>2023</v>
      </c>
      <c r="B149" s="272" t="s">
        <v>105</v>
      </c>
      <c r="C149" s="332">
        <f t="shared" si="11"/>
        <v>20015.793300490524</v>
      </c>
      <c r="D149" s="332">
        <f t="shared" si="12"/>
        <v>16699.675877630434</v>
      </c>
      <c r="E149" s="332">
        <v>4969.1950536851718</v>
      </c>
      <c r="F149" s="332">
        <v>4377.8108890679978</v>
      </c>
      <c r="G149" s="332">
        <v>7272.260186262135</v>
      </c>
      <c r="H149" s="332">
        <v>80.409748615128848</v>
      </c>
      <c r="I149" s="287">
        <f t="shared" si="13"/>
        <v>231.93959591831799</v>
      </c>
      <c r="J149" s="332">
        <v>53.074906988318006</v>
      </c>
      <c r="K149" s="332">
        <v>178.86468893</v>
      </c>
      <c r="L149" s="332">
        <v>3084.1778269417746</v>
      </c>
      <c r="M149" s="104"/>
      <c r="N149" s="104"/>
    </row>
    <row r="150" spans="1:14" s="105" customFormat="1" ht="14">
      <c r="A150" s="239"/>
      <c r="B150" s="273" t="s">
        <v>106</v>
      </c>
      <c r="C150" s="327">
        <f t="shared" si="11"/>
        <v>19828.934333310081</v>
      </c>
      <c r="D150" s="327">
        <f t="shared" si="12"/>
        <v>16419.238623002308</v>
      </c>
      <c r="E150" s="327">
        <v>4826.2498491959514</v>
      </c>
      <c r="F150" s="327">
        <v>4439.6637251969732</v>
      </c>
      <c r="G150" s="327">
        <v>7072.6394943771566</v>
      </c>
      <c r="H150" s="327">
        <v>80.68555423222729</v>
      </c>
      <c r="I150" s="290">
        <f t="shared" si="13"/>
        <v>192.80630049720847</v>
      </c>
      <c r="J150" s="327">
        <v>52.041820064207997</v>
      </c>
      <c r="K150" s="327">
        <v>140.76448043300047</v>
      </c>
      <c r="L150" s="327">
        <v>3216.889409810562</v>
      </c>
      <c r="M150" s="104"/>
      <c r="N150" s="104"/>
    </row>
    <row r="151" spans="1:14" s="105" customFormat="1" ht="14">
      <c r="A151" s="239"/>
      <c r="B151" s="273" t="s">
        <v>107</v>
      </c>
      <c r="C151" s="327">
        <f t="shared" si="11"/>
        <v>20013.29225730582</v>
      </c>
      <c r="D151" s="327">
        <f t="shared" si="12"/>
        <v>16776.407655668783</v>
      </c>
      <c r="E151" s="327">
        <v>5746.6535883971219</v>
      </c>
      <c r="F151" s="327">
        <v>4458.7340429741162</v>
      </c>
      <c r="G151" s="327">
        <v>6493.3496013045642</v>
      </c>
      <c r="H151" s="327">
        <v>77.670422992977038</v>
      </c>
      <c r="I151" s="290">
        <f t="shared" si="13"/>
        <v>181.55505151064401</v>
      </c>
      <c r="J151" s="327">
        <v>25.043449755473002</v>
      </c>
      <c r="K151" s="327">
        <v>156.511601755171</v>
      </c>
      <c r="L151" s="327">
        <v>3055.3295501263942</v>
      </c>
      <c r="M151" s="104"/>
      <c r="N151" s="104"/>
    </row>
    <row r="152" spans="1:14" s="105" customFormat="1" ht="14">
      <c r="A152" s="239"/>
      <c r="B152" s="273" t="s">
        <v>108</v>
      </c>
      <c r="C152" s="327">
        <f t="shared" si="11"/>
        <v>19287.353458173206</v>
      </c>
      <c r="D152" s="327">
        <f t="shared" si="12"/>
        <v>16150.083853071537</v>
      </c>
      <c r="E152" s="327">
        <v>4901.0415146347959</v>
      </c>
      <c r="F152" s="327">
        <v>4363.6812922904983</v>
      </c>
      <c r="G152" s="327">
        <v>6800.9678720854936</v>
      </c>
      <c r="H152" s="327">
        <v>84.39317406074889</v>
      </c>
      <c r="I152" s="290">
        <f t="shared" si="13"/>
        <v>214.54804104306601</v>
      </c>
      <c r="J152" s="327">
        <v>24.062406788707001</v>
      </c>
      <c r="K152" s="327">
        <v>190.48563425435901</v>
      </c>
      <c r="L152" s="327">
        <v>2922.7215640586032</v>
      </c>
      <c r="M152" s="104"/>
      <c r="N152" s="104"/>
    </row>
    <row r="153" spans="1:14" s="105" customFormat="1" ht="14">
      <c r="A153" s="239"/>
      <c r="B153" s="273" t="s">
        <v>109</v>
      </c>
      <c r="C153" s="327">
        <f t="shared" si="11"/>
        <v>19275.72529200108</v>
      </c>
      <c r="D153" s="327">
        <f t="shared" si="12"/>
        <v>15847.952172629364</v>
      </c>
      <c r="E153" s="327">
        <v>4783.2412957483375</v>
      </c>
      <c r="F153" s="327">
        <v>4434.7125909427295</v>
      </c>
      <c r="G153" s="327">
        <v>6539.7512305741475</v>
      </c>
      <c r="H153" s="327">
        <v>90.24705536415064</v>
      </c>
      <c r="I153" s="290">
        <f t="shared" si="13"/>
        <v>320.86960181489701</v>
      </c>
      <c r="J153" s="327">
        <v>34.693765484897</v>
      </c>
      <c r="K153" s="327">
        <v>286.17583632999998</v>
      </c>
      <c r="L153" s="327">
        <v>3106.9035175568206</v>
      </c>
      <c r="M153" s="104"/>
      <c r="N153" s="104"/>
    </row>
    <row r="154" spans="1:14" s="105" customFormat="1" ht="14">
      <c r="A154" s="239"/>
      <c r="B154" s="273" t="s">
        <v>110</v>
      </c>
      <c r="C154" s="327">
        <f t="shared" si="11"/>
        <v>19859.062660131611</v>
      </c>
      <c r="D154" s="327">
        <f t="shared" si="12"/>
        <v>16350.073730159991</v>
      </c>
      <c r="E154" s="327">
        <v>5437.7742941250226</v>
      </c>
      <c r="F154" s="327">
        <v>4463.468174387147</v>
      </c>
      <c r="G154" s="327">
        <v>6349.8530207294198</v>
      </c>
      <c r="H154" s="327">
        <v>98.978240918400147</v>
      </c>
      <c r="I154" s="290">
        <f t="shared" si="13"/>
        <v>195.14335540807599</v>
      </c>
      <c r="J154" s="327">
        <v>17.787771928075998</v>
      </c>
      <c r="K154" s="327">
        <v>177.35558348000001</v>
      </c>
      <c r="L154" s="327">
        <v>3313.8455745635429</v>
      </c>
      <c r="M154" s="104"/>
      <c r="N154" s="104"/>
    </row>
    <row r="155" spans="1:14" s="105" customFormat="1" ht="14">
      <c r="A155" s="239"/>
      <c r="B155" s="273" t="s">
        <v>117</v>
      </c>
      <c r="C155" s="327">
        <f t="shared" si="11"/>
        <v>19416.854696895069</v>
      </c>
      <c r="D155" s="327">
        <f t="shared" si="12"/>
        <v>16020.136346491941</v>
      </c>
      <c r="E155" s="327">
        <v>4710.3640010643303</v>
      </c>
      <c r="F155" s="327">
        <v>4346.6898306481698</v>
      </c>
      <c r="G155" s="327">
        <v>6854.6607178253125</v>
      </c>
      <c r="H155" s="327">
        <v>108.42179695412905</v>
      </c>
      <c r="I155" s="290">
        <f t="shared" si="13"/>
        <v>225.95525138243502</v>
      </c>
      <c r="J155" s="327">
        <v>15.551774292435001</v>
      </c>
      <c r="K155" s="327">
        <v>210.40347709000002</v>
      </c>
      <c r="L155" s="327">
        <v>3170.7630990206922</v>
      </c>
      <c r="M155" s="104"/>
      <c r="N155" s="104"/>
    </row>
    <row r="156" spans="1:14" s="105" customFormat="1" ht="14">
      <c r="A156" s="239"/>
      <c r="B156" s="273" t="s">
        <v>112</v>
      </c>
      <c r="C156" s="327">
        <f t="shared" si="11"/>
        <v>19217.887772226477</v>
      </c>
      <c r="D156" s="327">
        <f t="shared" si="12"/>
        <v>15808.665220649151</v>
      </c>
      <c r="E156" s="327">
        <v>4744.3290794012864</v>
      </c>
      <c r="F156" s="327">
        <v>4392.7248337578567</v>
      </c>
      <c r="G156" s="327">
        <v>6583.2187921525092</v>
      </c>
      <c r="H156" s="327">
        <v>88.392515337498864</v>
      </c>
      <c r="I156" s="290">
        <f t="shared" si="13"/>
        <v>218.26514578573799</v>
      </c>
      <c r="J156" s="327">
        <v>15.262130375738002</v>
      </c>
      <c r="K156" s="327">
        <v>203.00301540999999</v>
      </c>
      <c r="L156" s="327">
        <v>3190.9574057915902</v>
      </c>
      <c r="M156" s="104"/>
      <c r="N156" s="104"/>
    </row>
    <row r="157" spans="1:14" s="105" customFormat="1" ht="14">
      <c r="A157" s="239"/>
      <c r="B157" s="273" t="s">
        <v>113</v>
      </c>
      <c r="C157" s="327">
        <f t="shared" si="11"/>
        <v>19427.823642969692</v>
      </c>
      <c r="D157" s="327">
        <f t="shared" si="12"/>
        <v>15891.107477745145</v>
      </c>
      <c r="E157" s="327">
        <v>5530.79011548576</v>
      </c>
      <c r="F157" s="327">
        <v>4358.9272098181427</v>
      </c>
      <c r="G157" s="327">
        <v>5909.235478926732</v>
      </c>
      <c r="H157" s="327">
        <v>92.154673514509255</v>
      </c>
      <c r="I157" s="290">
        <f t="shared" si="13"/>
        <v>274.37265738142997</v>
      </c>
      <c r="J157" s="327">
        <v>10.66655910143</v>
      </c>
      <c r="K157" s="327">
        <v>263.70609827999999</v>
      </c>
      <c r="L157" s="327">
        <v>3262.3435078431166</v>
      </c>
      <c r="M157" s="104"/>
      <c r="N157" s="104"/>
    </row>
    <row r="158" spans="1:14" s="105" customFormat="1" ht="14">
      <c r="A158" s="239"/>
      <c r="B158" s="273" t="s">
        <v>114</v>
      </c>
      <c r="C158" s="327">
        <f t="shared" ref="C158:C160" si="14">D158+I158+L158</f>
        <v>19303.629804835873</v>
      </c>
      <c r="D158" s="327">
        <f t="shared" ref="D158:D160" si="15">E158+F158+G158+H158</f>
        <v>15798.1938954039</v>
      </c>
      <c r="E158" s="327">
        <v>4817.3111111471862</v>
      </c>
      <c r="F158" s="327">
        <v>4270.1820580775711</v>
      </c>
      <c r="G158" s="327">
        <v>6614.931267600231</v>
      </c>
      <c r="H158" s="327">
        <v>95.769458578911113</v>
      </c>
      <c r="I158" s="290">
        <f t="shared" si="13"/>
        <v>307.10854154505597</v>
      </c>
      <c r="J158" s="327">
        <v>1.0962185350559999</v>
      </c>
      <c r="K158" s="327">
        <v>306.01232300999999</v>
      </c>
      <c r="L158" s="327">
        <v>3198.3273678869164</v>
      </c>
      <c r="M158" s="104"/>
      <c r="N158" s="104"/>
    </row>
    <row r="159" spans="1:14" s="105" customFormat="1" ht="14">
      <c r="A159" s="239"/>
      <c r="B159" s="273" t="s">
        <v>115</v>
      </c>
      <c r="C159" s="327">
        <f t="shared" si="14"/>
        <v>19283.949172070152</v>
      </c>
      <c r="D159" s="327">
        <f t="shared" si="15"/>
        <v>15653.903508787225</v>
      </c>
      <c r="E159" s="327">
        <v>4966.7857468370776</v>
      </c>
      <c r="F159" s="327">
        <v>4244.328098303381</v>
      </c>
      <c r="G159" s="327">
        <v>6347.0860068286775</v>
      </c>
      <c r="H159" s="327">
        <v>95.703656818087978</v>
      </c>
      <c r="I159" s="290">
        <f t="shared" si="13"/>
        <v>344.77427944320902</v>
      </c>
      <c r="J159" s="327">
        <v>7.6283002732089997</v>
      </c>
      <c r="K159" s="327">
        <v>337.14597917000003</v>
      </c>
      <c r="L159" s="327">
        <v>3285.2713838397171</v>
      </c>
      <c r="M159" s="104"/>
      <c r="N159" s="104"/>
    </row>
    <row r="160" spans="1:14" s="105" customFormat="1" ht="14">
      <c r="A160" s="240"/>
      <c r="B160" s="274" t="s">
        <v>116</v>
      </c>
      <c r="C160" s="329">
        <f t="shared" si="14"/>
        <v>19811.265933656119</v>
      </c>
      <c r="D160" s="329">
        <f t="shared" si="15"/>
        <v>16092.367981100218</v>
      </c>
      <c r="E160" s="329">
        <v>4959.4013641431329</v>
      </c>
      <c r="F160" s="329">
        <v>4429.9815308703082</v>
      </c>
      <c r="G160" s="329">
        <v>6610.4741102106927</v>
      </c>
      <c r="H160" s="329">
        <v>92.510975876084686</v>
      </c>
      <c r="I160" s="293">
        <f t="shared" si="13"/>
        <v>513.845025465199</v>
      </c>
      <c r="J160" s="329">
        <v>59.109844875199002</v>
      </c>
      <c r="K160" s="329">
        <v>454.73518059000003</v>
      </c>
      <c r="L160" s="329">
        <v>3205.0529270907045</v>
      </c>
      <c r="M160" s="104"/>
      <c r="N160" s="104"/>
    </row>
    <row r="161" spans="1:14" s="105" customFormat="1" ht="14">
      <c r="A161" s="238">
        <v>2024</v>
      </c>
      <c r="B161" s="272" t="s">
        <v>105</v>
      </c>
      <c r="C161" s="332">
        <f t="shared" ref="C161:C166" si="16">D161+I161+L161</f>
        <v>19881.19045029307</v>
      </c>
      <c r="D161" s="332">
        <f t="shared" ref="D161:D166" si="17">E161+F161+G161+H161</f>
        <v>16099.338737038963</v>
      </c>
      <c r="E161" s="332">
        <v>5139.581068843253</v>
      </c>
      <c r="F161" s="332">
        <v>4406.586214820577</v>
      </c>
      <c r="G161" s="332">
        <v>6465.3704189482387</v>
      </c>
      <c r="H161" s="332">
        <v>87.801034426893068</v>
      </c>
      <c r="I161" s="287">
        <f t="shared" si="13"/>
        <v>389.45312761534944</v>
      </c>
      <c r="J161" s="332">
        <v>64.308362623383999</v>
      </c>
      <c r="K161" s="332">
        <v>325.14476499196547</v>
      </c>
      <c r="L161" s="332">
        <v>3392.3985856387608</v>
      </c>
      <c r="M161" s="104"/>
      <c r="N161" s="104"/>
    </row>
    <row r="162" spans="1:14" s="105" customFormat="1" ht="14">
      <c r="A162" s="239"/>
      <c r="B162" s="273" t="s">
        <v>106</v>
      </c>
      <c r="C162" s="327">
        <f t="shared" si="16"/>
        <v>19658.947189320246</v>
      </c>
      <c r="D162" s="327">
        <f t="shared" si="17"/>
        <v>15642.955725960081</v>
      </c>
      <c r="E162" s="327">
        <v>5002.0117885075533</v>
      </c>
      <c r="F162" s="327">
        <v>4336.0535181490786</v>
      </c>
      <c r="G162" s="327">
        <v>6232.0459155168865</v>
      </c>
      <c r="H162" s="327">
        <v>72.844503786562939</v>
      </c>
      <c r="I162" s="290">
        <f t="shared" si="13"/>
        <v>529.56252113062556</v>
      </c>
      <c r="J162" s="327">
        <v>63.585622048093008</v>
      </c>
      <c r="K162" s="327">
        <v>465.9768990825325</v>
      </c>
      <c r="L162" s="327">
        <v>3486.4289422295419</v>
      </c>
      <c r="M162" s="104"/>
      <c r="N162" s="104"/>
    </row>
    <row r="163" spans="1:14" s="105" customFormat="1" ht="14">
      <c r="A163" s="239"/>
      <c r="B163" s="273" t="s">
        <v>107</v>
      </c>
      <c r="C163" s="327">
        <f t="shared" si="16"/>
        <v>20440.378158069831</v>
      </c>
      <c r="D163" s="327">
        <f t="shared" si="17"/>
        <v>16420.675473379524</v>
      </c>
      <c r="E163" s="327">
        <v>5348.3368072107151</v>
      </c>
      <c r="F163" s="327">
        <v>4388.0460437686743</v>
      </c>
      <c r="G163" s="327">
        <v>6607.1905616660943</v>
      </c>
      <c r="H163" s="327">
        <v>77.102060734040762</v>
      </c>
      <c r="I163" s="290">
        <f t="shared" si="13"/>
        <v>556.46472325903039</v>
      </c>
      <c r="J163" s="327">
        <v>59.889464283210003</v>
      </c>
      <c r="K163" s="327">
        <v>496.57525897582042</v>
      </c>
      <c r="L163" s="327">
        <v>3463.2379614312786</v>
      </c>
      <c r="M163" s="104"/>
      <c r="N163" s="104"/>
    </row>
    <row r="164" spans="1:14" s="105" customFormat="1" ht="14">
      <c r="A164" s="239"/>
      <c r="B164" s="273" t="s">
        <v>108</v>
      </c>
      <c r="C164" s="327">
        <f t="shared" si="16"/>
        <v>19948.96148658761</v>
      </c>
      <c r="D164" s="327">
        <f t="shared" si="17"/>
        <v>16207.673578910353</v>
      </c>
      <c r="E164" s="327">
        <v>5066.6522615042522</v>
      </c>
      <c r="F164" s="327">
        <v>4400.3853063640972</v>
      </c>
      <c r="G164" s="327">
        <v>6665.4329608749995</v>
      </c>
      <c r="H164" s="327">
        <v>75.203050167004363</v>
      </c>
      <c r="I164" s="290">
        <f t="shared" si="13"/>
        <v>514.63883960779197</v>
      </c>
      <c r="J164" s="327">
        <v>57.512544005916006</v>
      </c>
      <c r="K164" s="327">
        <v>457.126295601876</v>
      </c>
      <c r="L164" s="327">
        <v>3226.649068069466</v>
      </c>
      <c r="M164" s="104"/>
      <c r="N164" s="104"/>
    </row>
    <row r="165" spans="1:14" s="105" customFormat="1" ht="14">
      <c r="A165" s="239"/>
      <c r="B165" s="273" t="s">
        <v>109</v>
      </c>
      <c r="C165" s="327">
        <f t="shared" si="16"/>
        <v>19787.662404003455</v>
      </c>
      <c r="D165" s="327">
        <f t="shared" si="17"/>
        <v>15901.181476229556</v>
      </c>
      <c r="E165" s="327">
        <v>4672.1154333749055</v>
      </c>
      <c r="F165" s="327">
        <v>4383.4523117400913</v>
      </c>
      <c r="G165" s="327">
        <v>6774.1224708946656</v>
      </c>
      <c r="H165" s="327">
        <v>71.491260219895111</v>
      </c>
      <c r="I165" s="290">
        <f t="shared" si="13"/>
        <v>487.15488583446995</v>
      </c>
      <c r="J165" s="327">
        <v>66.197955910844996</v>
      </c>
      <c r="K165" s="327">
        <v>420.95692992362495</v>
      </c>
      <c r="L165" s="327">
        <v>3399.3260419394296</v>
      </c>
      <c r="M165" s="104"/>
      <c r="N165" s="104"/>
    </row>
    <row r="166" spans="1:14" s="105" customFormat="1" ht="14">
      <c r="A166" s="239"/>
      <c r="B166" s="273" t="s">
        <v>110</v>
      </c>
      <c r="C166" s="327">
        <f t="shared" si="16"/>
        <v>20178.611807867575</v>
      </c>
      <c r="D166" s="327">
        <f t="shared" si="17"/>
        <v>15980.331211245364</v>
      </c>
      <c r="E166" s="327">
        <v>5088.9342703065049</v>
      </c>
      <c r="F166" s="327">
        <v>4387.3951012161942</v>
      </c>
      <c r="G166" s="327">
        <v>6430.3037719431459</v>
      </c>
      <c r="H166" s="327">
        <v>73.698067779518922</v>
      </c>
      <c r="I166" s="290">
        <f t="shared" si="13"/>
        <v>597.77604241284962</v>
      </c>
      <c r="J166" s="327">
        <v>57.700444343443003</v>
      </c>
      <c r="K166" s="327">
        <v>540.07559806940662</v>
      </c>
      <c r="L166" s="327">
        <v>3600.5045542093621</v>
      </c>
      <c r="M166" s="104"/>
      <c r="N166" s="104"/>
    </row>
    <row r="167" spans="1:14" s="105" customFormat="1" ht="14">
      <c r="A167" s="239"/>
      <c r="B167" s="273" t="s">
        <v>117</v>
      </c>
      <c r="C167" s="336">
        <f t="shared" ref="C167:C169" si="18">D167+I167+L167</f>
        <v>19839.323088298472</v>
      </c>
      <c r="D167" s="327">
        <f t="shared" ref="D167:D169" si="19">E167+F167+G167+H167</f>
        <v>15833.637868777681</v>
      </c>
      <c r="E167" s="327">
        <v>4603.3264881288314</v>
      </c>
      <c r="F167" s="327">
        <v>4346.8772315035803</v>
      </c>
      <c r="G167" s="327">
        <v>6809.9188841967189</v>
      </c>
      <c r="H167" s="327">
        <v>73.51526494854977</v>
      </c>
      <c r="I167" s="290">
        <f t="shared" si="13"/>
        <v>560.24153421189339</v>
      </c>
      <c r="J167" s="327">
        <v>82.785598706271003</v>
      </c>
      <c r="K167" s="327">
        <v>477.45593550562245</v>
      </c>
      <c r="L167" s="327">
        <v>3445.4436853088973</v>
      </c>
      <c r="M167" s="104"/>
      <c r="N167" s="104"/>
    </row>
    <row r="168" spans="1:14" s="105" customFormat="1" ht="14">
      <c r="A168" s="239"/>
      <c r="B168" s="273" t="s">
        <v>112</v>
      </c>
      <c r="C168" s="327">
        <f t="shared" si="18"/>
        <v>19509.06889119438</v>
      </c>
      <c r="D168" s="327">
        <f t="shared" si="19"/>
        <v>15381.962611286366</v>
      </c>
      <c r="E168" s="327">
        <v>4549.1615676305892</v>
      </c>
      <c r="F168" s="327">
        <v>4198.5475236115772</v>
      </c>
      <c r="G168" s="327">
        <v>6544.4850913998916</v>
      </c>
      <c r="H168" s="327">
        <v>89.768428644308145</v>
      </c>
      <c r="I168" s="290">
        <f t="shared" si="13"/>
        <v>601.61747376351104</v>
      </c>
      <c r="J168" s="327">
        <v>56.989836644953002</v>
      </c>
      <c r="K168" s="327">
        <v>544.62763711855803</v>
      </c>
      <c r="L168" s="327">
        <v>3525.4888061445008</v>
      </c>
      <c r="M168" s="104"/>
      <c r="N168" s="104"/>
    </row>
    <row r="169" spans="1:14" s="105" customFormat="1" ht="14">
      <c r="A169" s="239"/>
      <c r="B169" s="273" t="s">
        <v>113</v>
      </c>
      <c r="C169" s="327">
        <f t="shared" si="18"/>
        <v>20044.049943462611</v>
      </c>
      <c r="D169" s="327">
        <f t="shared" si="19"/>
        <v>15767.315509661132</v>
      </c>
      <c r="E169" s="327">
        <v>4569.2342297279438</v>
      </c>
      <c r="F169" s="327">
        <v>4251.2059122900746</v>
      </c>
      <c r="G169" s="327">
        <v>6853.4107251855821</v>
      </c>
      <c r="H169" s="327">
        <v>93.464642457530985</v>
      </c>
      <c r="I169" s="290">
        <f t="shared" si="13"/>
        <v>656.49846829832234</v>
      </c>
      <c r="J169" s="327">
        <v>52.764787732039999</v>
      </c>
      <c r="K169" s="327">
        <v>603.73368056628237</v>
      </c>
      <c r="L169" s="327">
        <v>3620.2359655031582</v>
      </c>
      <c r="M169" s="104"/>
      <c r="N169" s="104"/>
    </row>
    <row r="170" spans="1:14" s="105" customFormat="1" ht="14">
      <c r="A170" s="239"/>
      <c r="B170" s="273" t="s">
        <v>114</v>
      </c>
      <c r="C170" s="327">
        <f t="shared" ref="C170:C175" si="20">D170+I170+L170</f>
        <v>20130.137457383855</v>
      </c>
      <c r="D170" s="327">
        <f t="shared" ref="D170:D175" si="21">E170+F170+G170+H170</f>
        <v>15667.363504942257</v>
      </c>
      <c r="E170" s="327">
        <v>4506.9124284857307</v>
      </c>
      <c r="F170" s="327">
        <v>4220.7759484012968</v>
      </c>
      <c r="G170" s="327">
        <v>6840.3217376896773</v>
      </c>
      <c r="H170" s="327">
        <v>99.353390365551888</v>
      </c>
      <c r="I170" s="290">
        <f t="shared" si="13"/>
        <v>812.93543788753152</v>
      </c>
      <c r="J170" s="327">
        <v>39.940177759077997</v>
      </c>
      <c r="K170" s="327">
        <v>772.99526012845354</v>
      </c>
      <c r="L170" s="327">
        <v>3649.8385145540665</v>
      </c>
      <c r="M170" s="104"/>
      <c r="N170" s="104"/>
    </row>
    <row r="171" spans="1:14" s="105" customFormat="1" ht="14">
      <c r="A171" s="239"/>
      <c r="B171" s="273" t="s">
        <v>115</v>
      </c>
      <c r="C171" s="327">
        <f t="shared" si="20"/>
        <v>19762.659947461223</v>
      </c>
      <c r="D171" s="327">
        <f t="shared" si="21"/>
        <v>15410.488557990931</v>
      </c>
      <c r="E171" s="327">
        <v>4537.1682953926775</v>
      </c>
      <c r="F171" s="327">
        <v>4210.1491086435926</v>
      </c>
      <c r="G171" s="327">
        <v>6567.448721726616</v>
      </c>
      <c r="H171" s="327">
        <v>95.72243222804569</v>
      </c>
      <c r="I171" s="290">
        <f t="shared" si="13"/>
        <v>745.48613564010054</v>
      </c>
      <c r="J171" s="327">
        <v>40.112756453239996</v>
      </c>
      <c r="K171" s="327">
        <v>705.37337918686057</v>
      </c>
      <c r="L171" s="327">
        <v>3606.6852538301932</v>
      </c>
      <c r="M171" s="104"/>
      <c r="N171" s="104"/>
    </row>
    <row r="172" spans="1:14" s="105" customFormat="1" ht="14">
      <c r="A172" s="240"/>
      <c r="B172" s="274" t="s">
        <v>116</v>
      </c>
      <c r="C172" s="329">
        <f t="shared" si="20"/>
        <v>20874.182723872676</v>
      </c>
      <c r="D172" s="329">
        <f t="shared" si="21"/>
        <v>16437.927325374327</v>
      </c>
      <c r="E172" s="329">
        <v>4867.6566446415663</v>
      </c>
      <c r="F172" s="329">
        <v>4482.1322345742756</v>
      </c>
      <c r="G172" s="329">
        <v>6994.5059377492089</v>
      </c>
      <c r="H172" s="329">
        <v>93.63250840927607</v>
      </c>
      <c r="I172" s="293">
        <f t="shared" si="13"/>
        <v>840.47193220152565</v>
      </c>
      <c r="J172" s="329">
        <v>94.283269126101999</v>
      </c>
      <c r="K172" s="329">
        <v>746.18866307542362</v>
      </c>
      <c r="L172" s="329">
        <v>3595.7834662968226</v>
      </c>
      <c r="M172" s="104"/>
      <c r="N172" s="104"/>
    </row>
    <row r="173" spans="1:14" s="105" customFormat="1" ht="14">
      <c r="A173" s="238">
        <v>2025</v>
      </c>
      <c r="B173" s="272" t="s">
        <v>105</v>
      </c>
      <c r="C173" s="332">
        <f t="shared" si="20"/>
        <v>20140.944083579892</v>
      </c>
      <c r="D173" s="332">
        <f t="shared" si="21"/>
        <v>15850.856076655131</v>
      </c>
      <c r="E173" s="332">
        <v>5033.2236683253086</v>
      </c>
      <c r="F173" s="332">
        <v>4328.1092197455073</v>
      </c>
      <c r="G173" s="332">
        <v>6373.7679454801309</v>
      </c>
      <c r="H173" s="332">
        <v>115.75524310418407</v>
      </c>
      <c r="I173" s="308">
        <f t="shared" si="13"/>
        <v>784.21210835835222</v>
      </c>
      <c r="J173" s="332">
        <v>64.443614800248</v>
      </c>
      <c r="K173" s="332">
        <v>719.76849355810418</v>
      </c>
      <c r="L173" s="332">
        <v>3505.8758985664085</v>
      </c>
      <c r="M173" s="104"/>
      <c r="N173" s="104"/>
    </row>
    <row r="174" spans="1:14" s="105" customFormat="1" ht="14">
      <c r="A174" s="239"/>
      <c r="B174" s="273" t="s">
        <v>106</v>
      </c>
      <c r="C174" s="327">
        <f t="shared" si="20"/>
        <v>20494.961677040319</v>
      </c>
      <c r="D174" s="327">
        <f t="shared" si="21"/>
        <v>16095.455355547741</v>
      </c>
      <c r="E174" s="327">
        <v>4909.1600110294421</v>
      </c>
      <c r="F174" s="327">
        <v>4264.2140415461145</v>
      </c>
      <c r="G174" s="327">
        <v>6802.4538886038426</v>
      </c>
      <c r="H174" s="327">
        <v>119.627414368342</v>
      </c>
      <c r="I174" s="296">
        <f t="shared" si="13"/>
        <v>763.69497694574557</v>
      </c>
      <c r="J174" s="327">
        <v>54.334591772761996</v>
      </c>
      <c r="K174" s="327">
        <v>709.36038517298357</v>
      </c>
      <c r="L174" s="327">
        <v>3635.8113445468334</v>
      </c>
      <c r="M174" s="104"/>
      <c r="N174" s="104"/>
    </row>
    <row r="175" spans="1:14" s="105" customFormat="1" ht="14">
      <c r="A175" s="239"/>
      <c r="B175" s="273" t="s">
        <v>107</v>
      </c>
      <c r="C175" s="327">
        <f t="shared" si="20"/>
        <v>20819.683481193097</v>
      </c>
      <c r="D175" s="327">
        <f t="shared" si="21"/>
        <v>16689.52113716145</v>
      </c>
      <c r="E175" s="327">
        <v>5501.6873043196556</v>
      </c>
      <c r="F175" s="327">
        <v>4315.8522488529252</v>
      </c>
      <c r="G175" s="327">
        <v>6755.3552723441107</v>
      </c>
      <c r="H175" s="327">
        <v>116.62631164475752</v>
      </c>
      <c r="I175" s="296">
        <f t="shared" si="13"/>
        <v>663.19915823124234</v>
      </c>
      <c r="J175" s="327">
        <v>18.99193602691</v>
      </c>
      <c r="K175" s="327">
        <v>644.20722220433231</v>
      </c>
      <c r="L175" s="327">
        <v>3466.963185800405</v>
      </c>
      <c r="M175" s="104"/>
      <c r="N175" s="104"/>
    </row>
    <row r="176" spans="1:14" s="105" customFormat="1" ht="14">
      <c r="A176" s="239"/>
      <c r="B176" s="273" t="s">
        <v>108</v>
      </c>
      <c r="C176" s="327">
        <f t="shared" ref="C176:C178" si="22">D176+I176+L176</f>
        <v>20472.93838289968</v>
      </c>
      <c r="D176" s="327">
        <f t="shared" ref="D176:D178" si="23">E176+F176+G176+H176</f>
        <v>16240.867411229285</v>
      </c>
      <c r="E176" s="327">
        <v>4852.9089987234274</v>
      </c>
      <c r="F176" s="327">
        <v>4356.9844989748626</v>
      </c>
      <c r="G176" s="327">
        <v>6904.1220608857084</v>
      </c>
      <c r="H176" s="327">
        <v>126.85185264528889</v>
      </c>
      <c r="I176" s="296">
        <f t="shared" si="13"/>
        <v>811.71756157710115</v>
      </c>
      <c r="J176" s="327">
        <v>14.480129944146002</v>
      </c>
      <c r="K176" s="327">
        <v>797.23743163295512</v>
      </c>
      <c r="L176" s="327">
        <v>3420.353410093297</v>
      </c>
      <c r="M176" s="104"/>
      <c r="N176" s="104"/>
    </row>
    <row r="177" spans="1:14" s="105" customFormat="1" ht="14">
      <c r="A177" s="239"/>
      <c r="B177" s="273" t="s">
        <v>109</v>
      </c>
      <c r="C177" s="327">
        <f t="shared" si="22"/>
        <v>20080.792658047179</v>
      </c>
      <c r="D177" s="327">
        <f t="shared" si="23"/>
        <v>15948.587958000631</v>
      </c>
      <c r="E177" s="327">
        <v>4666.8405074637731</v>
      </c>
      <c r="F177" s="327">
        <v>4329.5033679499847</v>
      </c>
      <c r="G177" s="327">
        <v>6829.4872168444981</v>
      </c>
      <c r="H177" s="327">
        <v>122.75686574237642</v>
      </c>
      <c r="I177" s="296">
        <f t="shared" si="13"/>
        <v>615.115751279704</v>
      </c>
      <c r="J177" s="327">
        <v>14.444516208132001</v>
      </c>
      <c r="K177" s="327">
        <v>600.67123507157203</v>
      </c>
      <c r="L177" s="327">
        <v>3517.0889487668423</v>
      </c>
      <c r="M177" s="104"/>
      <c r="N177" s="104"/>
    </row>
    <row r="178" spans="1:14" s="105" customFormat="1" ht="14">
      <c r="A178" s="239"/>
      <c r="B178" s="273" t="s">
        <v>110</v>
      </c>
      <c r="C178" s="327">
        <f t="shared" si="22"/>
        <v>20264.91310847261</v>
      </c>
      <c r="D178" s="327">
        <f t="shared" si="23"/>
        <v>16176.008849488924</v>
      </c>
      <c r="E178" s="327">
        <v>4864.6231275722457</v>
      </c>
      <c r="F178" s="327">
        <v>4436.2947804189162</v>
      </c>
      <c r="G178" s="327">
        <v>6755.1491390559077</v>
      </c>
      <c r="H178" s="327">
        <v>119.94180244185341</v>
      </c>
      <c r="I178" s="296">
        <f t="shared" si="13"/>
        <v>514.1379149856449</v>
      </c>
      <c r="J178" s="327">
        <v>1.9261277822480001</v>
      </c>
      <c r="K178" s="327">
        <v>512.21178720339685</v>
      </c>
      <c r="L178" s="327">
        <v>3574.7663439980433</v>
      </c>
      <c r="M178" s="104"/>
      <c r="N178" s="104"/>
    </row>
    <row r="179" spans="1:14" s="105" customFormat="1" ht="14">
      <c r="A179" s="239"/>
      <c r="B179" s="273" t="s">
        <v>117</v>
      </c>
      <c r="C179" s="327">
        <f t="shared" ref="C179:C181" si="24">D179+I179+L179</f>
        <v>20373.21360108077</v>
      </c>
      <c r="D179" s="327">
        <f t="shared" ref="D179:D181" si="25">E179+F179+G179+H179</f>
        <v>16172.89510969882</v>
      </c>
      <c r="E179" s="327">
        <v>4967.6953426402188</v>
      </c>
      <c r="F179" s="327">
        <v>4404.2785644949199</v>
      </c>
      <c r="G179" s="327">
        <v>6676.5137052074951</v>
      </c>
      <c r="H179" s="327">
        <v>124.40749735618537</v>
      </c>
      <c r="I179" s="290">
        <f t="shared" si="13"/>
        <v>713.65149763600107</v>
      </c>
      <c r="J179" s="327">
        <v>2.2495892685959999</v>
      </c>
      <c r="K179" s="327">
        <v>711.4019083674051</v>
      </c>
      <c r="L179" s="327">
        <v>3486.6669937459474</v>
      </c>
      <c r="M179" s="104"/>
      <c r="N179" s="104"/>
    </row>
    <row r="180" spans="1:14" s="105" customFormat="1" ht="14">
      <c r="A180" s="239"/>
      <c r="B180" s="273" t="s">
        <v>112</v>
      </c>
      <c r="C180" s="327">
        <f t="shared" si="24"/>
        <v>20848.031791156711</v>
      </c>
      <c r="D180" s="327">
        <f t="shared" si="25"/>
        <v>16732.597748380118</v>
      </c>
      <c r="E180" s="327">
        <v>4745.4738771700913</v>
      </c>
      <c r="F180" s="327">
        <v>4541.2075610095408</v>
      </c>
      <c r="G180" s="327">
        <v>7339.0447981378202</v>
      </c>
      <c r="H180" s="327">
        <v>106.87151206266633</v>
      </c>
      <c r="I180" s="290">
        <f t="shared" si="13"/>
        <v>620.66405658598399</v>
      </c>
      <c r="J180" s="327">
        <v>1.6328441368</v>
      </c>
      <c r="K180" s="327">
        <v>619.03121244918395</v>
      </c>
      <c r="L180" s="327">
        <v>3494.7699861906076</v>
      </c>
      <c r="M180" s="104"/>
      <c r="N180" s="104"/>
    </row>
    <row r="181" spans="1:14" s="105" customFormat="1" ht="14">
      <c r="A181" s="239"/>
      <c r="B181" s="273" t="s">
        <v>113</v>
      </c>
      <c r="C181" s="327">
        <f t="shared" si="24"/>
        <v>21151.025182405254</v>
      </c>
      <c r="D181" s="327">
        <f t="shared" si="25"/>
        <v>16742.705032918235</v>
      </c>
      <c r="E181" s="327">
        <v>5098.6522820085838</v>
      </c>
      <c r="F181" s="327">
        <v>4301.8113564325186</v>
      </c>
      <c r="G181" s="327">
        <v>7235.1446770605162</v>
      </c>
      <c r="H181" s="327">
        <v>107.09671741661836</v>
      </c>
      <c r="I181" s="290">
        <f t="shared" si="13"/>
        <v>747.45802161256904</v>
      </c>
      <c r="J181" s="327">
        <v>7.9020234152380002</v>
      </c>
      <c r="K181" s="327">
        <v>739.55599819733106</v>
      </c>
      <c r="L181" s="327">
        <v>3660.8621278744508</v>
      </c>
      <c r="M181" s="104"/>
      <c r="N181" s="104"/>
    </row>
    <row r="182" spans="1:14" s="105" customFormat="1" ht="14">
      <c r="A182" s="239"/>
      <c r="B182" s="273" t="s">
        <v>114</v>
      </c>
      <c r="C182" s="327">
        <f t="shared" ref="C182:C184" si="26">D182+I182+L182</f>
        <v>20919.898620080021</v>
      </c>
      <c r="D182" s="327">
        <f t="shared" ref="D182:D184" si="27">E182+F182+G182+H182</f>
        <v>16417.93940893087</v>
      </c>
      <c r="E182" s="327">
        <v>5027.5920732161876</v>
      </c>
      <c r="F182" s="327">
        <v>4275.8154718690621</v>
      </c>
      <c r="G182" s="327">
        <v>7003.9545615222178</v>
      </c>
      <c r="H182" s="327">
        <v>110.57730232339991</v>
      </c>
      <c r="I182" s="290">
        <f t="shared" si="13"/>
        <v>836.59205196563846</v>
      </c>
      <c r="J182" s="327">
        <v>40.149488652088998</v>
      </c>
      <c r="K182" s="327">
        <v>796.4425633135495</v>
      </c>
      <c r="L182" s="327">
        <v>3665.3671591835114</v>
      </c>
      <c r="M182" s="104"/>
      <c r="N182" s="104"/>
    </row>
    <row r="183" spans="1:14" s="105" customFormat="1" ht="14">
      <c r="A183" s="239"/>
      <c r="B183" s="273" t="s">
        <v>115</v>
      </c>
      <c r="C183" s="327">
        <f t="shared" si="26"/>
        <v>21181.728559458967</v>
      </c>
      <c r="D183" s="327">
        <f t="shared" si="27"/>
        <v>16770.751093892788</v>
      </c>
      <c r="E183" s="327">
        <v>5049.1786859328822</v>
      </c>
      <c r="F183" s="327">
        <v>4271.0081962351478</v>
      </c>
      <c r="G183" s="327">
        <v>7330.6047808480253</v>
      </c>
      <c r="H183" s="327">
        <v>119.95943087673194</v>
      </c>
      <c r="I183" s="290">
        <f t="shared" si="13"/>
        <v>848.53322305333791</v>
      </c>
      <c r="J183" s="327">
        <v>28.851245731683001</v>
      </c>
      <c r="K183" s="327">
        <v>819.68197732165493</v>
      </c>
      <c r="L183" s="327">
        <v>3562.4442425128391</v>
      </c>
      <c r="M183" s="104"/>
      <c r="N183" s="104"/>
    </row>
    <row r="184" spans="1:14" s="105" customFormat="1" ht="14">
      <c r="A184" s="240"/>
      <c r="B184" s="274" t="s">
        <v>116</v>
      </c>
      <c r="C184" s="329">
        <f t="shared" si="26"/>
        <v>21318.083199414275</v>
      </c>
      <c r="D184" s="329">
        <f t="shared" si="27"/>
        <v>16902.45309708537</v>
      </c>
      <c r="E184" s="329">
        <v>5214.2039510382201</v>
      </c>
      <c r="F184" s="329">
        <v>4399.4191354478999</v>
      </c>
      <c r="G184" s="329">
        <v>7172.5611128016799</v>
      </c>
      <c r="H184" s="329">
        <v>116.268897797572</v>
      </c>
      <c r="I184" s="293">
        <f t="shared" si="13"/>
        <v>870.65071648090304</v>
      </c>
      <c r="J184" s="329">
        <v>28.041260697601</v>
      </c>
      <c r="K184" s="329">
        <v>842.609455783302</v>
      </c>
      <c r="L184" s="329">
        <v>3544.9793858480002</v>
      </c>
      <c r="M184" s="104"/>
      <c r="N184" s="104"/>
    </row>
    <row r="185" spans="1:14" s="105" customFormat="1" ht="14">
      <c r="A185" s="238">
        <v>2026</v>
      </c>
      <c r="B185" s="272" t="s">
        <v>105</v>
      </c>
      <c r="C185" s="332">
        <f t="shared" ref="C185:C187" si="28">D185+I185+L185</f>
        <v>21567.974188633547</v>
      </c>
      <c r="D185" s="332">
        <f t="shared" ref="D185:D187" si="29">E185+F185+G185+H185</f>
        <v>17145.120215199633</v>
      </c>
      <c r="E185" s="332">
        <v>5242.2864756612635</v>
      </c>
      <c r="F185" s="332">
        <v>4240.6590681207754</v>
      </c>
      <c r="G185" s="332">
        <v>7552.859514948459</v>
      </c>
      <c r="H185" s="332">
        <v>109.31515646913552</v>
      </c>
      <c r="I185" s="287">
        <f t="shared" si="13"/>
        <v>872.22861324132418</v>
      </c>
      <c r="J185" s="332">
        <v>27.908063467843998</v>
      </c>
      <c r="K185" s="332">
        <v>844.32054977348014</v>
      </c>
      <c r="L185" s="332">
        <v>3550.6253601925896</v>
      </c>
      <c r="M185" s="104"/>
      <c r="N185" s="104"/>
    </row>
    <row r="186" spans="1:14" s="105" customFormat="1" ht="14">
      <c r="A186" s="239"/>
      <c r="B186" s="273" t="s">
        <v>106</v>
      </c>
      <c r="C186" s="327">
        <f t="shared" si="28"/>
        <v>21253.215108122371</v>
      </c>
      <c r="D186" s="327">
        <f t="shared" si="29"/>
        <v>16899.239952121279</v>
      </c>
      <c r="E186" s="327">
        <v>5712.475924134641</v>
      </c>
      <c r="F186" s="327">
        <v>4330.3951515805938</v>
      </c>
      <c r="G186" s="327">
        <v>6748.1611928715311</v>
      </c>
      <c r="H186" s="327">
        <v>108.20768353451358</v>
      </c>
      <c r="I186" s="290">
        <f t="shared" si="13"/>
        <v>853.92977687061557</v>
      </c>
      <c r="J186" s="327">
        <v>23.615286476276999</v>
      </c>
      <c r="K186" s="327">
        <v>830.31449039433858</v>
      </c>
      <c r="L186" s="327">
        <v>3500.0453791304762</v>
      </c>
      <c r="M186" s="104"/>
      <c r="N186" s="104"/>
    </row>
    <row r="187" spans="1:14" s="105" customFormat="1" ht="14">
      <c r="A187" s="240"/>
      <c r="B187" s="274" t="s">
        <v>107</v>
      </c>
      <c r="C187" s="329">
        <f t="shared" si="28"/>
        <v>21024.117071214205</v>
      </c>
      <c r="D187" s="329">
        <f t="shared" si="29"/>
        <v>16376.90615038292</v>
      </c>
      <c r="E187" s="329">
        <v>5545.0147771042584</v>
      </c>
      <c r="F187" s="329">
        <v>4350.7486886349943</v>
      </c>
      <c r="G187" s="329">
        <v>6367.9552695360353</v>
      </c>
      <c r="H187" s="329">
        <v>113.18741510763202</v>
      </c>
      <c r="I187" s="293">
        <f t="shared" si="13"/>
        <v>856.81207729884989</v>
      </c>
      <c r="J187" s="329">
        <v>31.858774706687999</v>
      </c>
      <c r="K187" s="329">
        <v>824.95330259216189</v>
      </c>
      <c r="L187" s="329">
        <v>3790.398843532435</v>
      </c>
      <c r="M187" s="104"/>
      <c r="N187" s="104"/>
    </row>
    <row r="189" spans="1:14">
      <c r="A189" s="171" t="s">
        <v>195</v>
      </c>
      <c r="B189" s="180"/>
      <c r="C189" s="180"/>
      <c r="D189" s="178"/>
    </row>
    <row r="190" spans="1:14">
      <c r="A190" s="161"/>
      <c r="B190" s="180"/>
      <c r="C190" s="181"/>
      <c r="D190" s="179"/>
      <c r="E190" s="74"/>
      <c r="F190" s="74"/>
      <c r="G190" s="74"/>
      <c r="H190" s="74"/>
      <c r="I190" s="74"/>
      <c r="J190" s="74"/>
      <c r="K190" s="74"/>
      <c r="L190" s="74"/>
    </row>
    <row r="191" spans="1:14">
      <c r="A191" s="161" t="s">
        <v>119</v>
      </c>
      <c r="B191" s="180"/>
      <c r="C191" s="180"/>
      <c r="D191" s="178"/>
    </row>
    <row r="192" spans="1:14">
      <c r="A192" s="161" t="s">
        <v>120</v>
      </c>
      <c r="B192" s="180"/>
      <c r="C192" s="180"/>
      <c r="D192" s="178"/>
    </row>
    <row r="193" spans="1:1">
      <c r="A193" s="168" t="s">
        <v>168</v>
      </c>
    </row>
  </sheetData>
  <sheetProtection sheet="1" formatCells="0" insertColumns="0" insertRows="0" deleteColumns="0" deleteRows="0"/>
  <mergeCells count="7">
    <mergeCell ref="A1:J1"/>
    <mergeCell ref="L3:L4"/>
    <mergeCell ref="I3:K3"/>
    <mergeCell ref="A2:L2"/>
    <mergeCell ref="A3:B4"/>
    <mergeCell ref="C3:C4"/>
    <mergeCell ref="D3:H3"/>
  </mergeCells>
  <printOptions horizontalCentered="1"/>
  <pageMargins left="0.32" right="0.31" top="0.75" bottom="0.75" header="0.3" footer="0.3"/>
  <pageSetup paperSize="9" orientation="landscape" r:id="rId1"/>
  <ignoredErrors>
    <ignoredError sqref="C113:C115 D113:D115 I113:I115"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78"/>
  <sheetViews>
    <sheetView zoomScaleNormal="100" workbookViewId="0">
      <pane xSplit="2" ySplit="7" topLeftCell="C55" activePane="bottomRight" state="frozen"/>
      <selection pane="topRight" activeCell="G153" sqref="G153"/>
      <selection pane="bottomLeft" activeCell="G153" sqref="G153"/>
      <selection pane="bottomRight" activeCell="B67" sqref="B67"/>
    </sheetView>
  </sheetViews>
  <sheetFormatPr defaultColWidth="9.1796875" defaultRowHeight="13"/>
  <cols>
    <col min="1" max="1" width="6.54296875" style="65" customWidth="1"/>
    <col min="2" max="2" width="6.90625" style="65" customWidth="1"/>
    <col min="3" max="3" width="9.90625" style="65" customWidth="1"/>
    <col min="4" max="27" width="9.36328125" style="65" customWidth="1"/>
    <col min="28" max="16384" width="9.1796875" style="65"/>
  </cols>
  <sheetData>
    <row r="1" spans="1:39" ht="15.5">
      <c r="A1" s="709" t="s">
        <v>205</v>
      </c>
      <c r="B1" s="709"/>
      <c r="C1" s="709"/>
      <c r="D1" s="709"/>
      <c r="E1" s="709"/>
      <c r="F1" s="709"/>
      <c r="G1" s="709"/>
      <c r="H1" s="709"/>
      <c r="I1" s="709"/>
      <c r="J1" s="709"/>
      <c r="K1" s="709"/>
      <c r="L1" s="709"/>
      <c r="M1" s="709"/>
      <c r="N1" s="709"/>
      <c r="O1" s="709"/>
      <c r="P1" s="709"/>
    </row>
    <row r="2" spans="1:39" ht="15" customHeight="1">
      <c r="A2" s="785" t="s">
        <v>97</v>
      </c>
      <c r="B2" s="785"/>
      <c r="C2" s="785"/>
      <c r="D2" s="785"/>
      <c r="E2" s="785"/>
      <c r="F2" s="785"/>
      <c r="G2" s="785"/>
      <c r="H2" s="785"/>
      <c r="I2" s="785"/>
      <c r="J2" s="785"/>
      <c r="K2" s="785"/>
      <c r="L2" s="785"/>
      <c r="M2" s="785"/>
      <c r="N2" s="785"/>
      <c r="O2" s="785"/>
      <c r="P2" s="785"/>
      <c r="Q2" s="785"/>
      <c r="R2" s="785"/>
      <c r="S2" s="785"/>
      <c r="T2" s="785"/>
      <c r="U2" s="785"/>
      <c r="V2" s="785"/>
      <c r="W2" s="785"/>
      <c r="X2" s="785"/>
      <c r="Y2" s="785"/>
      <c r="Z2" s="785"/>
      <c r="AA2" s="785"/>
    </row>
    <row r="3" spans="1:39" s="105" customFormat="1" ht="27" customHeight="1">
      <c r="A3" s="780" t="s">
        <v>98</v>
      </c>
      <c r="B3" s="780"/>
      <c r="C3" s="774" t="s">
        <v>206</v>
      </c>
      <c r="D3" s="775"/>
      <c r="E3" s="775"/>
      <c r="F3" s="775"/>
      <c r="G3" s="775"/>
      <c r="H3" s="775"/>
      <c r="I3" s="775"/>
      <c r="J3" s="775"/>
      <c r="K3" s="775"/>
      <c r="L3" s="775"/>
      <c r="M3" s="775"/>
      <c r="N3" s="775"/>
      <c r="O3" s="775"/>
      <c r="P3" s="775"/>
      <c r="Q3" s="775"/>
      <c r="R3" s="775"/>
      <c r="S3" s="775"/>
      <c r="T3" s="775"/>
      <c r="U3" s="775"/>
      <c r="V3" s="775"/>
      <c r="W3" s="775"/>
      <c r="X3" s="775"/>
      <c r="Y3" s="775"/>
      <c r="Z3" s="775"/>
      <c r="AA3" s="775"/>
    </row>
    <row r="4" spans="1:39" s="105" customFormat="1" ht="27.75" customHeight="1">
      <c r="A4" s="780"/>
      <c r="B4" s="781"/>
      <c r="C4" s="782" t="s">
        <v>102</v>
      </c>
      <c r="D4" s="778" t="s">
        <v>207</v>
      </c>
      <c r="E4" s="775"/>
      <c r="F4" s="775"/>
      <c r="G4" s="775"/>
      <c r="H4" s="775"/>
      <c r="I4" s="775"/>
      <c r="J4" s="775"/>
      <c r="K4" s="775"/>
      <c r="L4" s="775"/>
      <c r="M4" s="775"/>
      <c r="N4" s="775"/>
      <c r="O4" s="775"/>
      <c r="P4" s="775"/>
      <c r="Q4" s="775"/>
      <c r="R4" s="775"/>
      <c r="S4" s="775"/>
      <c r="T4" s="775"/>
      <c r="U4" s="775"/>
      <c r="V4" s="775"/>
      <c r="W4" s="775"/>
      <c r="X4" s="775"/>
      <c r="Y4" s="775"/>
      <c r="Z4" s="775"/>
      <c r="AA4" s="779" t="s">
        <v>208</v>
      </c>
    </row>
    <row r="5" spans="1:39" s="105" customFormat="1" ht="24.75" customHeight="1">
      <c r="A5" s="780"/>
      <c r="B5" s="781"/>
      <c r="C5" s="783"/>
      <c r="D5" s="782" t="s">
        <v>102</v>
      </c>
      <c r="E5" s="778" t="s">
        <v>209</v>
      </c>
      <c r="F5" s="775"/>
      <c r="G5" s="775"/>
      <c r="H5" s="775"/>
      <c r="I5" s="775"/>
      <c r="J5" s="775"/>
      <c r="K5" s="775"/>
      <c r="L5" s="775"/>
      <c r="M5" s="775"/>
      <c r="N5" s="775"/>
      <c r="O5" s="775"/>
      <c r="P5" s="774" t="s">
        <v>210</v>
      </c>
      <c r="Q5" s="775"/>
      <c r="R5" s="775"/>
      <c r="S5" s="775"/>
      <c r="T5" s="775"/>
      <c r="U5" s="775"/>
      <c r="V5" s="775"/>
      <c r="W5" s="775"/>
      <c r="X5" s="775"/>
      <c r="Y5" s="775"/>
      <c r="Z5" s="775"/>
      <c r="AA5" s="779"/>
    </row>
    <row r="6" spans="1:39" s="105" customFormat="1" ht="30" customHeight="1">
      <c r="A6" s="780"/>
      <c r="B6" s="781"/>
      <c r="C6" s="783"/>
      <c r="D6" s="783"/>
      <c r="E6" s="782" t="s">
        <v>102</v>
      </c>
      <c r="F6" s="778" t="s">
        <v>211</v>
      </c>
      <c r="G6" s="775"/>
      <c r="H6" s="775"/>
      <c r="I6" s="775"/>
      <c r="J6" s="775"/>
      <c r="K6" s="775"/>
      <c r="L6" s="786" t="s">
        <v>212</v>
      </c>
      <c r="M6" s="787"/>
      <c r="N6" s="787"/>
      <c r="O6" s="787"/>
      <c r="P6" s="782" t="s">
        <v>102</v>
      </c>
      <c r="Q6" s="789" t="s">
        <v>213</v>
      </c>
      <c r="R6" s="779" t="s">
        <v>214</v>
      </c>
      <c r="S6" s="779" t="s">
        <v>215</v>
      </c>
      <c r="T6" s="779" t="s">
        <v>216</v>
      </c>
      <c r="U6" s="779" t="s">
        <v>217</v>
      </c>
      <c r="V6" s="779" t="s">
        <v>218</v>
      </c>
      <c r="W6" s="779" t="s">
        <v>219</v>
      </c>
      <c r="X6" s="779" t="s">
        <v>220</v>
      </c>
      <c r="Y6" s="779" t="s">
        <v>221</v>
      </c>
      <c r="Z6" s="779" t="s">
        <v>222</v>
      </c>
      <c r="AA6" s="779"/>
    </row>
    <row r="7" spans="1:39" s="105" customFormat="1" ht="150" customHeight="1">
      <c r="A7" s="780"/>
      <c r="B7" s="781"/>
      <c r="C7" s="784"/>
      <c r="D7" s="784"/>
      <c r="E7" s="784"/>
      <c r="F7" s="407" t="s">
        <v>102</v>
      </c>
      <c r="G7" s="405" t="s">
        <v>223</v>
      </c>
      <c r="H7" s="404" t="s">
        <v>224</v>
      </c>
      <c r="I7" s="404" t="s">
        <v>225</v>
      </c>
      <c r="J7" s="404" t="s">
        <v>226</v>
      </c>
      <c r="K7" s="408" t="s">
        <v>227</v>
      </c>
      <c r="L7" s="407" t="s">
        <v>102</v>
      </c>
      <c r="M7" s="409" t="s">
        <v>228</v>
      </c>
      <c r="N7" s="407" t="s">
        <v>229</v>
      </c>
      <c r="O7" s="406" t="s">
        <v>230</v>
      </c>
      <c r="P7" s="788"/>
      <c r="Q7" s="789"/>
      <c r="R7" s="779"/>
      <c r="S7" s="779"/>
      <c r="T7" s="779"/>
      <c r="U7" s="779"/>
      <c r="V7" s="779"/>
      <c r="W7" s="779"/>
      <c r="X7" s="779"/>
      <c r="Y7" s="779"/>
      <c r="Z7" s="779"/>
      <c r="AA7" s="779"/>
    </row>
    <row r="8" spans="1:39" s="105" customFormat="1" ht="14">
      <c r="A8" s="416">
        <v>2011</v>
      </c>
      <c r="B8" s="410" t="s">
        <v>231</v>
      </c>
      <c r="C8" s="419">
        <f>F8+L8+P8+AA8</f>
        <v>5126.3099999999995</v>
      </c>
      <c r="D8" s="420">
        <f>E8+P8</f>
        <v>5091.37</v>
      </c>
      <c r="E8" s="421">
        <f>F8+L8</f>
        <v>3096.74</v>
      </c>
      <c r="F8" s="422">
        <f>G8+H8+I8+J8+K8</f>
        <v>2165.6999999999998</v>
      </c>
      <c r="G8" s="423">
        <v>133.97999999999999</v>
      </c>
      <c r="H8" s="424">
        <v>123.33</v>
      </c>
      <c r="I8" s="422">
        <v>17.48</v>
      </c>
      <c r="J8" s="424">
        <v>24.54</v>
      </c>
      <c r="K8" s="424">
        <v>1866.37</v>
      </c>
      <c r="L8" s="422">
        <f>M8+N8+O8</f>
        <v>931.04</v>
      </c>
      <c r="M8" s="423">
        <v>361.09</v>
      </c>
      <c r="N8" s="424">
        <v>418.17</v>
      </c>
      <c r="O8" s="422">
        <v>151.78</v>
      </c>
      <c r="P8" s="422">
        <f>Q8+R8+S8+T8+U8+V8+W8+X8+Y8+Z8</f>
        <v>1994.6299999999999</v>
      </c>
      <c r="Q8" s="423">
        <v>22.89</v>
      </c>
      <c r="R8" s="424">
        <v>27.97</v>
      </c>
      <c r="S8" s="422">
        <v>145.75</v>
      </c>
      <c r="T8" s="424">
        <v>551.66</v>
      </c>
      <c r="U8" s="422">
        <v>152.68</v>
      </c>
      <c r="V8" s="424">
        <v>346.63</v>
      </c>
      <c r="W8" s="422">
        <v>179.59</v>
      </c>
      <c r="X8" s="424">
        <v>399.76</v>
      </c>
      <c r="Y8" s="422">
        <v>79.540000000000006</v>
      </c>
      <c r="Z8" s="424">
        <v>88.16</v>
      </c>
      <c r="AA8" s="422">
        <v>34.94</v>
      </c>
      <c r="AB8" s="107"/>
      <c r="AC8" s="107"/>
      <c r="AD8" s="107"/>
      <c r="AE8" s="107"/>
      <c r="AF8" s="107"/>
      <c r="AG8" s="107"/>
      <c r="AH8" s="107"/>
      <c r="AI8" s="107"/>
      <c r="AJ8" s="107"/>
      <c r="AK8" s="107"/>
      <c r="AL8" s="107"/>
      <c r="AM8" s="107"/>
    </row>
    <row r="9" spans="1:39" s="105" customFormat="1" ht="14">
      <c r="A9" s="417"/>
      <c r="B9" s="411" t="s">
        <v>232</v>
      </c>
      <c r="C9" s="425">
        <f>F9+L9+P9+AA9</f>
        <v>4713.57</v>
      </c>
      <c r="D9" s="426">
        <f>E9+P9</f>
        <v>4660.96</v>
      </c>
      <c r="E9" s="425">
        <f>F9+L9</f>
        <v>3043.82</v>
      </c>
      <c r="F9" s="427">
        <f>G9+H9+I9+J9+K9</f>
        <v>2097.59</v>
      </c>
      <c r="G9" s="428">
        <v>127.45</v>
      </c>
      <c r="H9" s="429">
        <v>141.04</v>
      </c>
      <c r="I9" s="427">
        <v>14.91</v>
      </c>
      <c r="J9" s="429">
        <v>27.12</v>
      </c>
      <c r="K9" s="427">
        <v>1787.07</v>
      </c>
      <c r="L9" s="427">
        <f>M9+N9+O9</f>
        <v>946.23</v>
      </c>
      <c r="M9" s="428">
        <v>361.76</v>
      </c>
      <c r="N9" s="429">
        <v>434.18</v>
      </c>
      <c r="O9" s="427">
        <v>150.29</v>
      </c>
      <c r="P9" s="427">
        <f>Q9+R9+S9+T9+U9+V9+W9+X9+Y9+Z9</f>
        <v>1617.1399999999996</v>
      </c>
      <c r="Q9" s="428">
        <v>25.02</v>
      </c>
      <c r="R9" s="429">
        <v>45.01</v>
      </c>
      <c r="S9" s="427">
        <v>155.66999999999999</v>
      </c>
      <c r="T9" s="429">
        <v>120.83</v>
      </c>
      <c r="U9" s="427">
        <v>158.43</v>
      </c>
      <c r="V9" s="429">
        <v>352.99</v>
      </c>
      <c r="W9" s="427">
        <v>194.81</v>
      </c>
      <c r="X9" s="429">
        <v>395.4</v>
      </c>
      <c r="Y9" s="427">
        <v>80.12</v>
      </c>
      <c r="Z9" s="429">
        <v>88.86</v>
      </c>
      <c r="AA9" s="427">
        <v>52.61</v>
      </c>
      <c r="AB9" s="107"/>
      <c r="AC9" s="107"/>
      <c r="AD9" s="107"/>
      <c r="AE9" s="107"/>
      <c r="AF9" s="107"/>
      <c r="AG9" s="107"/>
      <c r="AH9" s="107"/>
      <c r="AI9" s="107"/>
      <c r="AJ9" s="107"/>
      <c r="AK9" s="107"/>
      <c r="AL9" s="107"/>
    </row>
    <row r="10" spans="1:39" s="105" customFormat="1" ht="14">
      <c r="A10" s="417"/>
      <c r="B10" s="411" t="s">
        <v>233</v>
      </c>
      <c r="C10" s="425">
        <f t="shared" ref="C10:C32" si="0">F10+L10+P10+AA10</f>
        <v>4834.22</v>
      </c>
      <c r="D10" s="426">
        <f t="shared" ref="D10:D32" si="1">E10+P10</f>
        <v>4660.97</v>
      </c>
      <c r="E10" s="425">
        <f t="shared" ref="E10:E32" si="2">F10+L10</f>
        <v>2998.44</v>
      </c>
      <c r="F10" s="427">
        <f t="shared" ref="F10:F32" si="3">G10+H10+I10+J10+K10</f>
        <v>2033.4</v>
      </c>
      <c r="G10" s="428">
        <v>119.2</v>
      </c>
      <c r="H10" s="429">
        <v>135.19</v>
      </c>
      <c r="I10" s="427">
        <v>12.72</v>
      </c>
      <c r="J10" s="429">
        <v>29.23</v>
      </c>
      <c r="K10" s="427">
        <v>1737.06</v>
      </c>
      <c r="L10" s="427">
        <f t="shared" ref="L10:L64" si="4">M10+N10+O10</f>
        <v>965.04</v>
      </c>
      <c r="M10" s="428">
        <v>377.07</v>
      </c>
      <c r="N10" s="429">
        <v>436.91</v>
      </c>
      <c r="O10" s="427">
        <v>151.06</v>
      </c>
      <c r="P10" s="427">
        <f t="shared" ref="P10:P32" si="5">Q10+R10+S10+T10+U10+V10+W10+X10+Y10+Z10</f>
        <v>1662.53</v>
      </c>
      <c r="Q10" s="428">
        <v>24.56</v>
      </c>
      <c r="R10" s="429">
        <v>166.33</v>
      </c>
      <c r="S10" s="427">
        <v>153.11000000000001</v>
      </c>
      <c r="T10" s="429">
        <v>115.1</v>
      </c>
      <c r="U10" s="427">
        <v>176.66</v>
      </c>
      <c r="V10" s="429">
        <v>376.5</v>
      </c>
      <c r="W10" s="427">
        <v>199.6</v>
      </c>
      <c r="X10" s="429">
        <v>285.14</v>
      </c>
      <c r="Y10" s="427">
        <v>80.12</v>
      </c>
      <c r="Z10" s="429">
        <v>85.41</v>
      </c>
      <c r="AA10" s="427">
        <v>173.25</v>
      </c>
      <c r="AB10" s="107"/>
      <c r="AC10" s="107"/>
      <c r="AD10" s="107"/>
      <c r="AE10" s="107"/>
      <c r="AF10" s="107"/>
      <c r="AG10" s="107"/>
      <c r="AH10" s="107"/>
      <c r="AI10" s="107"/>
      <c r="AJ10" s="107"/>
      <c r="AK10" s="107"/>
      <c r="AL10" s="107"/>
    </row>
    <row r="11" spans="1:39" s="105" customFormat="1" ht="14">
      <c r="A11" s="418"/>
      <c r="B11" s="412" t="s">
        <v>234</v>
      </c>
      <c r="C11" s="430">
        <f t="shared" si="0"/>
        <v>5091.96</v>
      </c>
      <c r="D11" s="430">
        <f t="shared" si="1"/>
        <v>4729.2</v>
      </c>
      <c r="E11" s="430">
        <f t="shared" si="2"/>
        <v>2966.0299999999997</v>
      </c>
      <c r="F11" s="431">
        <f t="shared" si="3"/>
        <v>1987.57</v>
      </c>
      <c r="G11" s="432">
        <v>111.57</v>
      </c>
      <c r="H11" s="433">
        <v>142.19</v>
      </c>
      <c r="I11" s="431">
        <v>10.91</v>
      </c>
      <c r="J11" s="433">
        <v>31.34</v>
      </c>
      <c r="K11" s="431">
        <v>1691.56</v>
      </c>
      <c r="L11" s="431">
        <f t="shared" si="4"/>
        <v>978.46</v>
      </c>
      <c r="M11" s="432">
        <v>374.19</v>
      </c>
      <c r="N11" s="433">
        <v>450.18</v>
      </c>
      <c r="O11" s="431">
        <v>154.09</v>
      </c>
      <c r="P11" s="431">
        <f t="shared" si="5"/>
        <v>1763.1699999999998</v>
      </c>
      <c r="Q11" s="432">
        <v>24.16</v>
      </c>
      <c r="R11" s="433">
        <v>266.44</v>
      </c>
      <c r="S11" s="431">
        <v>353.2</v>
      </c>
      <c r="T11" s="433">
        <v>96.3</v>
      </c>
      <c r="U11" s="431">
        <v>186.7</v>
      </c>
      <c r="V11" s="433">
        <v>373.32</v>
      </c>
      <c r="W11" s="431">
        <v>215.09</v>
      </c>
      <c r="X11" s="433">
        <v>78.77</v>
      </c>
      <c r="Y11" s="431">
        <v>82.16</v>
      </c>
      <c r="Z11" s="433">
        <v>87.03</v>
      </c>
      <c r="AA11" s="431">
        <v>362.76</v>
      </c>
      <c r="AB11" s="107"/>
      <c r="AC11" s="107"/>
      <c r="AD11" s="107"/>
      <c r="AE11" s="107"/>
      <c r="AF11" s="107"/>
      <c r="AG11" s="107"/>
      <c r="AH11" s="107"/>
      <c r="AI11" s="107"/>
      <c r="AJ11" s="107"/>
      <c r="AK11" s="107"/>
      <c r="AL11" s="107"/>
    </row>
    <row r="12" spans="1:39" s="105" customFormat="1" ht="14">
      <c r="A12" s="417">
        <v>2012</v>
      </c>
      <c r="B12" s="411" t="s">
        <v>231</v>
      </c>
      <c r="C12" s="425">
        <f t="shared" si="0"/>
        <v>4899.1099999999997</v>
      </c>
      <c r="D12" s="426">
        <f t="shared" si="1"/>
        <v>4665.5499999999993</v>
      </c>
      <c r="E12" s="425">
        <f t="shared" si="2"/>
        <v>2907.46</v>
      </c>
      <c r="F12" s="427">
        <f t="shared" si="3"/>
        <v>1914.68</v>
      </c>
      <c r="G12" s="428">
        <v>104.71</v>
      </c>
      <c r="H12" s="429">
        <v>135.55000000000001</v>
      </c>
      <c r="I12" s="427">
        <v>8.83</v>
      </c>
      <c r="J12" s="429">
        <v>33.090000000000003</v>
      </c>
      <c r="K12" s="427">
        <v>1632.5</v>
      </c>
      <c r="L12" s="427">
        <f t="shared" si="4"/>
        <v>992.78000000000009</v>
      </c>
      <c r="M12" s="428">
        <v>372.84</v>
      </c>
      <c r="N12" s="429">
        <v>462.86</v>
      </c>
      <c r="O12" s="427">
        <v>157.08000000000001</v>
      </c>
      <c r="P12" s="427">
        <f t="shared" si="5"/>
        <v>1758.0899999999997</v>
      </c>
      <c r="Q12" s="428">
        <v>25.01</v>
      </c>
      <c r="R12" s="429">
        <v>226.37</v>
      </c>
      <c r="S12" s="427">
        <v>263.06</v>
      </c>
      <c r="T12" s="429">
        <v>90.07</v>
      </c>
      <c r="U12" s="427">
        <v>181.29</v>
      </c>
      <c r="V12" s="429">
        <v>384.07</v>
      </c>
      <c r="W12" s="427">
        <v>203.56</v>
      </c>
      <c r="X12" s="429">
        <v>225.73</v>
      </c>
      <c r="Y12" s="427">
        <v>72.05</v>
      </c>
      <c r="Z12" s="429">
        <v>86.88</v>
      </c>
      <c r="AA12" s="427">
        <v>233.56</v>
      </c>
      <c r="AB12" s="107"/>
      <c r="AC12" s="107"/>
      <c r="AD12" s="107"/>
      <c r="AE12" s="107"/>
      <c r="AF12" s="107"/>
      <c r="AG12" s="107"/>
      <c r="AH12" s="107"/>
      <c r="AI12" s="107"/>
      <c r="AJ12" s="107"/>
      <c r="AK12" s="107"/>
      <c r="AL12" s="107"/>
    </row>
    <row r="13" spans="1:39" s="105" customFormat="1" ht="14">
      <c r="A13" s="417"/>
      <c r="B13" s="411" t="s">
        <v>232</v>
      </c>
      <c r="C13" s="425">
        <f t="shared" si="0"/>
        <v>5002.2900000000009</v>
      </c>
      <c r="D13" s="426">
        <f t="shared" si="1"/>
        <v>4766.7800000000007</v>
      </c>
      <c r="E13" s="425">
        <f t="shared" si="2"/>
        <v>2904.1000000000004</v>
      </c>
      <c r="F13" s="427">
        <f t="shared" si="3"/>
        <v>1899.8400000000001</v>
      </c>
      <c r="G13" s="428">
        <v>99.52</v>
      </c>
      <c r="H13" s="429">
        <v>138.83000000000001</v>
      </c>
      <c r="I13" s="427">
        <v>7.34</v>
      </c>
      <c r="J13" s="429">
        <v>39.200000000000003</v>
      </c>
      <c r="K13" s="427">
        <v>1614.95</v>
      </c>
      <c r="L13" s="427">
        <f t="shared" si="4"/>
        <v>1004.26</v>
      </c>
      <c r="M13" s="428">
        <v>384.48</v>
      </c>
      <c r="N13" s="429">
        <v>456.74</v>
      </c>
      <c r="O13" s="427">
        <v>163.04</v>
      </c>
      <c r="P13" s="427">
        <f t="shared" si="5"/>
        <v>1862.6799999999998</v>
      </c>
      <c r="Q13" s="428">
        <v>21.42</v>
      </c>
      <c r="R13" s="429">
        <v>227.93</v>
      </c>
      <c r="S13" s="427">
        <v>291.70999999999998</v>
      </c>
      <c r="T13" s="429">
        <v>138.97</v>
      </c>
      <c r="U13" s="427">
        <v>163.11000000000001</v>
      </c>
      <c r="V13" s="429">
        <v>394.9</v>
      </c>
      <c r="W13" s="427">
        <v>214.55</v>
      </c>
      <c r="X13" s="429">
        <v>246.21</v>
      </c>
      <c r="Y13" s="427">
        <v>74.290000000000006</v>
      </c>
      <c r="Z13" s="429">
        <v>89.59</v>
      </c>
      <c r="AA13" s="427">
        <v>235.51</v>
      </c>
      <c r="AB13" s="107"/>
      <c r="AC13" s="107"/>
      <c r="AD13" s="107"/>
      <c r="AE13" s="107"/>
      <c r="AF13" s="107"/>
      <c r="AG13" s="107"/>
      <c r="AH13" s="107"/>
      <c r="AI13" s="107"/>
      <c r="AJ13" s="107"/>
      <c r="AK13" s="107"/>
      <c r="AL13" s="107"/>
    </row>
    <row r="14" spans="1:39" s="105" customFormat="1" ht="14">
      <c r="A14" s="417"/>
      <c r="B14" s="411" t="s">
        <v>233</v>
      </c>
      <c r="C14" s="425">
        <f t="shared" si="0"/>
        <v>5171.0199999999995</v>
      </c>
      <c r="D14" s="426">
        <f t="shared" si="1"/>
        <v>4902.6099999999997</v>
      </c>
      <c r="E14" s="425">
        <f t="shared" si="2"/>
        <v>2918.46</v>
      </c>
      <c r="F14" s="427">
        <f t="shared" si="3"/>
        <v>1882.91</v>
      </c>
      <c r="G14" s="428">
        <v>92.67</v>
      </c>
      <c r="H14" s="429">
        <v>139.88999999999999</v>
      </c>
      <c r="I14" s="427">
        <v>5.89</v>
      </c>
      <c r="J14" s="429">
        <v>52.57</v>
      </c>
      <c r="K14" s="427">
        <v>1591.89</v>
      </c>
      <c r="L14" s="427">
        <f t="shared" si="4"/>
        <v>1035.55</v>
      </c>
      <c r="M14" s="428">
        <v>384.13</v>
      </c>
      <c r="N14" s="429">
        <v>478.93</v>
      </c>
      <c r="O14" s="427">
        <v>172.49</v>
      </c>
      <c r="P14" s="427">
        <f t="shared" si="5"/>
        <v>1984.1499999999999</v>
      </c>
      <c r="Q14" s="428">
        <v>21.35</v>
      </c>
      <c r="R14" s="429">
        <v>213.08</v>
      </c>
      <c r="S14" s="427">
        <v>444.58</v>
      </c>
      <c r="T14" s="429">
        <v>161.32</v>
      </c>
      <c r="U14" s="427">
        <v>154.13</v>
      </c>
      <c r="V14" s="429">
        <v>407.76</v>
      </c>
      <c r="W14" s="427">
        <v>224.93</v>
      </c>
      <c r="X14" s="429">
        <v>194.54</v>
      </c>
      <c r="Y14" s="427">
        <v>76.12</v>
      </c>
      <c r="Z14" s="429">
        <v>86.34</v>
      </c>
      <c r="AA14" s="427">
        <v>268.41000000000003</v>
      </c>
      <c r="AB14" s="107"/>
      <c r="AC14" s="107"/>
      <c r="AD14" s="107"/>
      <c r="AE14" s="107"/>
      <c r="AF14" s="107"/>
      <c r="AG14" s="107"/>
      <c r="AH14" s="107"/>
      <c r="AI14" s="107"/>
      <c r="AJ14" s="107"/>
      <c r="AK14" s="107"/>
      <c r="AL14" s="107"/>
    </row>
    <row r="15" spans="1:39" s="105" customFormat="1" ht="14">
      <c r="A15" s="417"/>
      <c r="B15" s="411" t="s">
        <v>234</v>
      </c>
      <c r="C15" s="430">
        <f t="shared" si="0"/>
        <v>5199.62</v>
      </c>
      <c r="D15" s="430">
        <f t="shared" si="1"/>
        <v>4892.32</v>
      </c>
      <c r="E15" s="430">
        <f t="shared" si="2"/>
        <v>2932.62</v>
      </c>
      <c r="F15" s="431">
        <f t="shared" si="3"/>
        <v>1842.18</v>
      </c>
      <c r="G15" s="428">
        <v>86.66</v>
      </c>
      <c r="H15" s="429">
        <v>134.57</v>
      </c>
      <c r="I15" s="427">
        <v>5.05</v>
      </c>
      <c r="J15" s="429">
        <v>89.74</v>
      </c>
      <c r="K15" s="427">
        <v>1526.16</v>
      </c>
      <c r="L15" s="431">
        <f t="shared" si="4"/>
        <v>1090.44</v>
      </c>
      <c r="M15" s="428">
        <v>387</v>
      </c>
      <c r="N15" s="429">
        <v>525.05999999999995</v>
      </c>
      <c r="O15" s="431">
        <v>178.38</v>
      </c>
      <c r="P15" s="431">
        <f t="shared" si="5"/>
        <v>1959.7</v>
      </c>
      <c r="Q15" s="428">
        <v>22.72</v>
      </c>
      <c r="R15" s="429">
        <v>214.31</v>
      </c>
      <c r="S15" s="427">
        <v>349.51</v>
      </c>
      <c r="T15" s="429">
        <v>217.96</v>
      </c>
      <c r="U15" s="427">
        <v>180.48</v>
      </c>
      <c r="V15" s="429">
        <v>418</v>
      </c>
      <c r="W15" s="427">
        <v>222.4</v>
      </c>
      <c r="X15" s="429">
        <v>176.08</v>
      </c>
      <c r="Y15" s="427">
        <v>81.08</v>
      </c>
      <c r="Z15" s="429">
        <v>77.16</v>
      </c>
      <c r="AA15" s="427">
        <v>307.3</v>
      </c>
      <c r="AB15" s="107"/>
      <c r="AC15" s="107"/>
      <c r="AD15" s="107"/>
      <c r="AE15" s="107"/>
      <c r="AF15" s="107"/>
      <c r="AG15" s="107"/>
      <c r="AH15" s="107"/>
      <c r="AI15" s="107"/>
      <c r="AJ15" s="107"/>
      <c r="AK15" s="107"/>
      <c r="AL15" s="107"/>
    </row>
    <row r="16" spans="1:39" s="105" customFormat="1" ht="14">
      <c r="A16" s="416">
        <v>2013</v>
      </c>
      <c r="B16" s="413" t="s">
        <v>231</v>
      </c>
      <c r="C16" s="425">
        <f t="shared" si="0"/>
        <v>5181.8599999999997</v>
      </c>
      <c r="D16" s="426">
        <f t="shared" si="1"/>
        <v>4886.2299999999996</v>
      </c>
      <c r="E16" s="425">
        <f t="shared" si="2"/>
        <v>2944.05</v>
      </c>
      <c r="F16" s="427">
        <f t="shared" si="3"/>
        <v>1819.65</v>
      </c>
      <c r="G16" s="423">
        <v>79.959999999999994</v>
      </c>
      <c r="H16" s="423">
        <v>127.6</v>
      </c>
      <c r="I16" s="423">
        <v>3.95</v>
      </c>
      <c r="J16" s="423">
        <v>152.63</v>
      </c>
      <c r="K16" s="423">
        <v>1455.51</v>
      </c>
      <c r="L16" s="427">
        <f t="shared" si="4"/>
        <v>1124.3999999999999</v>
      </c>
      <c r="M16" s="423">
        <v>387.33</v>
      </c>
      <c r="N16" s="423">
        <v>552.78</v>
      </c>
      <c r="O16" s="423">
        <v>184.29</v>
      </c>
      <c r="P16" s="427">
        <f t="shared" si="5"/>
        <v>1942.1799999999998</v>
      </c>
      <c r="Q16" s="423">
        <v>25.43</v>
      </c>
      <c r="R16" s="423">
        <v>208.42</v>
      </c>
      <c r="S16" s="423">
        <v>329.06</v>
      </c>
      <c r="T16" s="423">
        <v>222.03</v>
      </c>
      <c r="U16" s="423">
        <v>184.25</v>
      </c>
      <c r="V16" s="423">
        <v>401.24</v>
      </c>
      <c r="W16" s="423">
        <v>238.63</v>
      </c>
      <c r="X16" s="423">
        <v>189.5</v>
      </c>
      <c r="Y16" s="423">
        <v>78.33</v>
      </c>
      <c r="Z16" s="423">
        <v>65.290000000000006</v>
      </c>
      <c r="AA16" s="423">
        <v>295.63</v>
      </c>
      <c r="AB16" s="107"/>
      <c r="AC16" s="107"/>
      <c r="AD16" s="107"/>
      <c r="AE16" s="107"/>
      <c r="AF16" s="107"/>
      <c r="AG16" s="107"/>
      <c r="AH16" s="107"/>
      <c r="AI16" s="107"/>
      <c r="AJ16" s="107"/>
      <c r="AK16" s="107"/>
      <c r="AL16" s="107"/>
    </row>
    <row r="17" spans="1:38" s="105" customFormat="1" ht="14">
      <c r="A17" s="417"/>
      <c r="B17" s="414" t="s">
        <v>232</v>
      </c>
      <c r="C17" s="425">
        <f t="shared" si="0"/>
        <v>5359.3</v>
      </c>
      <c r="D17" s="426">
        <f t="shared" si="1"/>
        <v>5044.16</v>
      </c>
      <c r="E17" s="425">
        <f t="shared" si="2"/>
        <v>3014.84</v>
      </c>
      <c r="F17" s="427">
        <f t="shared" si="3"/>
        <v>1872.07</v>
      </c>
      <c r="G17" s="428">
        <v>71.94</v>
      </c>
      <c r="H17" s="428">
        <v>132.24</v>
      </c>
      <c r="I17" s="428">
        <v>3.1</v>
      </c>
      <c r="J17" s="428">
        <v>255.73</v>
      </c>
      <c r="K17" s="428">
        <v>1409.06</v>
      </c>
      <c r="L17" s="427">
        <f t="shared" si="4"/>
        <v>1142.77</v>
      </c>
      <c r="M17" s="428">
        <v>388.51</v>
      </c>
      <c r="N17" s="428">
        <v>574.30999999999995</v>
      </c>
      <c r="O17" s="428">
        <v>179.95</v>
      </c>
      <c r="P17" s="427">
        <f t="shared" si="5"/>
        <v>2029.32</v>
      </c>
      <c r="Q17" s="428">
        <v>25.32</v>
      </c>
      <c r="R17" s="428">
        <v>205.67</v>
      </c>
      <c r="S17" s="428">
        <v>358</v>
      </c>
      <c r="T17" s="428">
        <v>274.88</v>
      </c>
      <c r="U17" s="428">
        <v>188.2</v>
      </c>
      <c r="V17" s="428">
        <v>422.94</v>
      </c>
      <c r="W17" s="428">
        <v>238.69</v>
      </c>
      <c r="X17" s="428">
        <v>171.01</v>
      </c>
      <c r="Y17" s="428">
        <v>80.36</v>
      </c>
      <c r="Z17" s="428">
        <v>64.25</v>
      </c>
      <c r="AA17" s="428">
        <v>315.14</v>
      </c>
      <c r="AB17" s="107"/>
      <c r="AC17" s="107"/>
      <c r="AD17" s="107"/>
      <c r="AE17" s="107"/>
      <c r="AF17" s="107"/>
      <c r="AG17" s="107"/>
      <c r="AH17" s="107"/>
      <c r="AI17" s="107"/>
      <c r="AJ17" s="107"/>
      <c r="AK17" s="107"/>
      <c r="AL17" s="107"/>
    </row>
    <row r="18" spans="1:38" s="105" customFormat="1" ht="14">
      <c r="A18" s="417"/>
      <c r="B18" s="414" t="s">
        <v>233</v>
      </c>
      <c r="C18" s="425">
        <f t="shared" si="0"/>
        <v>5492.0899999999992</v>
      </c>
      <c r="D18" s="426">
        <f t="shared" si="1"/>
        <v>5211.2199999999993</v>
      </c>
      <c r="E18" s="425">
        <f t="shared" si="2"/>
        <v>3056.8199999999997</v>
      </c>
      <c r="F18" s="427">
        <f t="shared" si="3"/>
        <v>1857.02</v>
      </c>
      <c r="G18" s="428">
        <v>66.290000000000006</v>
      </c>
      <c r="H18" s="428">
        <v>136.36000000000001</v>
      </c>
      <c r="I18" s="428">
        <v>2.44</v>
      </c>
      <c r="J18" s="428">
        <v>290.62</v>
      </c>
      <c r="K18" s="428">
        <v>1361.31</v>
      </c>
      <c r="L18" s="427">
        <f t="shared" si="4"/>
        <v>1199.8</v>
      </c>
      <c r="M18" s="428">
        <v>392.44</v>
      </c>
      <c r="N18" s="428">
        <v>595.04</v>
      </c>
      <c r="O18" s="428">
        <v>212.32</v>
      </c>
      <c r="P18" s="427">
        <f t="shared" si="5"/>
        <v>2154.4</v>
      </c>
      <c r="Q18" s="428">
        <v>26.88</v>
      </c>
      <c r="R18" s="428">
        <v>169.21</v>
      </c>
      <c r="S18" s="428">
        <v>360.64</v>
      </c>
      <c r="T18" s="428">
        <v>351.89</v>
      </c>
      <c r="U18" s="428">
        <v>184.01</v>
      </c>
      <c r="V18" s="428">
        <v>435.54</v>
      </c>
      <c r="W18" s="428">
        <v>265.20999999999998</v>
      </c>
      <c r="X18" s="428">
        <v>218.96</v>
      </c>
      <c r="Y18" s="428">
        <v>77.36</v>
      </c>
      <c r="Z18" s="428">
        <v>64.7</v>
      </c>
      <c r="AA18" s="428">
        <v>280.87</v>
      </c>
      <c r="AB18" s="107"/>
      <c r="AC18" s="107"/>
      <c r="AD18" s="107"/>
      <c r="AE18" s="107"/>
      <c r="AF18" s="107"/>
      <c r="AG18" s="107"/>
      <c r="AH18" s="107"/>
      <c r="AI18" s="107"/>
      <c r="AJ18" s="107"/>
      <c r="AK18" s="107"/>
      <c r="AL18" s="107"/>
    </row>
    <row r="19" spans="1:38" s="105" customFormat="1" ht="14">
      <c r="A19" s="418"/>
      <c r="B19" s="415" t="s">
        <v>234</v>
      </c>
      <c r="C19" s="434">
        <f t="shared" si="0"/>
        <v>5621.1100000000006</v>
      </c>
      <c r="D19" s="430">
        <f t="shared" si="1"/>
        <v>5380.77</v>
      </c>
      <c r="E19" s="430">
        <f t="shared" si="2"/>
        <v>3055.23</v>
      </c>
      <c r="F19" s="431">
        <f t="shared" si="3"/>
        <v>1796.3899999999999</v>
      </c>
      <c r="G19" s="432">
        <v>60.54</v>
      </c>
      <c r="H19" s="432">
        <v>141.6</v>
      </c>
      <c r="I19" s="432">
        <v>2</v>
      </c>
      <c r="J19" s="432">
        <v>265.63</v>
      </c>
      <c r="K19" s="432">
        <v>1326.62</v>
      </c>
      <c r="L19" s="431">
        <f t="shared" si="4"/>
        <v>1258.8400000000001</v>
      </c>
      <c r="M19" s="432">
        <v>387.99</v>
      </c>
      <c r="N19" s="432">
        <v>611.99</v>
      </c>
      <c r="O19" s="432">
        <v>258.86</v>
      </c>
      <c r="P19" s="431">
        <f t="shared" si="5"/>
        <v>2325.5400000000004</v>
      </c>
      <c r="Q19" s="432">
        <v>26.74</v>
      </c>
      <c r="R19" s="432">
        <v>163.66</v>
      </c>
      <c r="S19" s="432">
        <v>430.86</v>
      </c>
      <c r="T19" s="432">
        <v>426.67</v>
      </c>
      <c r="U19" s="432">
        <v>181.46</v>
      </c>
      <c r="V19" s="432">
        <v>432.48</v>
      </c>
      <c r="W19" s="432">
        <v>282.93</v>
      </c>
      <c r="X19" s="432">
        <v>261.39999999999998</v>
      </c>
      <c r="Y19" s="432">
        <v>58.82</v>
      </c>
      <c r="Z19" s="432">
        <v>60.52</v>
      </c>
      <c r="AA19" s="432">
        <v>240.34</v>
      </c>
      <c r="AB19" s="107"/>
      <c r="AC19" s="107"/>
      <c r="AD19" s="107"/>
      <c r="AE19" s="107"/>
      <c r="AF19" s="107"/>
      <c r="AG19" s="107"/>
      <c r="AH19" s="107"/>
      <c r="AI19" s="107"/>
      <c r="AJ19" s="107"/>
      <c r="AK19" s="107"/>
      <c r="AL19" s="107"/>
    </row>
    <row r="20" spans="1:38" s="105" customFormat="1" ht="14">
      <c r="A20" s="417">
        <v>2014</v>
      </c>
      <c r="B20" s="413" t="s">
        <v>231</v>
      </c>
      <c r="C20" s="435">
        <f t="shared" si="0"/>
        <v>5485.38</v>
      </c>
      <c r="D20" s="426">
        <f t="shared" si="1"/>
        <v>5280.4400000000005</v>
      </c>
      <c r="E20" s="425">
        <f t="shared" si="2"/>
        <v>2959.04</v>
      </c>
      <c r="F20" s="427">
        <f t="shared" si="3"/>
        <v>1729.5500000000002</v>
      </c>
      <c r="G20" s="423">
        <v>55.62</v>
      </c>
      <c r="H20" s="422">
        <v>131.87</v>
      </c>
      <c r="I20" s="422">
        <v>1.58</v>
      </c>
      <c r="J20" s="422">
        <v>260.75</v>
      </c>
      <c r="K20" s="422">
        <v>1279.73</v>
      </c>
      <c r="L20" s="427">
        <f t="shared" si="4"/>
        <v>1229.49</v>
      </c>
      <c r="M20" s="423">
        <v>319.44</v>
      </c>
      <c r="N20" s="422">
        <v>620.23</v>
      </c>
      <c r="O20" s="422">
        <v>289.82</v>
      </c>
      <c r="P20" s="427">
        <f t="shared" si="5"/>
        <v>2321.4</v>
      </c>
      <c r="Q20" s="423">
        <v>29.52</v>
      </c>
      <c r="R20" s="422">
        <v>159.47</v>
      </c>
      <c r="S20" s="422">
        <v>366.37</v>
      </c>
      <c r="T20" s="422">
        <v>448.61</v>
      </c>
      <c r="U20" s="422">
        <v>156.61000000000001</v>
      </c>
      <c r="V20" s="422">
        <v>421.96</v>
      </c>
      <c r="W20" s="422">
        <v>277.14</v>
      </c>
      <c r="X20" s="422">
        <v>349.49</v>
      </c>
      <c r="Y20" s="422">
        <v>59.47</v>
      </c>
      <c r="Z20" s="422">
        <v>52.76</v>
      </c>
      <c r="AA20" s="422">
        <v>204.94</v>
      </c>
      <c r="AB20" s="107"/>
      <c r="AC20" s="107"/>
      <c r="AD20" s="107"/>
      <c r="AE20" s="107"/>
      <c r="AF20" s="107"/>
      <c r="AG20" s="107"/>
      <c r="AH20" s="107"/>
      <c r="AI20" s="107"/>
      <c r="AJ20" s="107"/>
      <c r="AK20" s="107"/>
      <c r="AL20" s="107"/>
    </row>
    <row r="21" spans="1:38" s="105" customFormat="1" ht="14">
      <c r="A21" s="417"/>
      <c r="B21" s="411" t="s">
        <v>232</v>
      </c>
      <c r="C21" s="435">
        <f t="shared" si="0"/>
        <v>5537.75</v>
      </c>
      <c r="D21" s="426">
        <f t="shared" si="1"/>
        <v>5316.82</v>
      </c>
      <c r="E21" s="425">
        <f t="shared" si="2"/>
        <v>2992.12</v>
      </c>
      <c r="F21" s="427">
        <f t="shared" si="3"/>
        <v>1700.24</v>
      </c>
      <c r="G21" s="428">
        <v>50.57</v>
      </c>
      <c r="H21" s="429">
        <v>141.91999999999999</v>
      </c>
      <c r="I21" s="427">
        <v>1.24</v>
      </c>
      <c r="J21" s="429">
        <v>258.32</v>
      </c>
      <c r="K21" s="427">
        <v>1248.19</v>
      </c>
      <c r="L21" s="427">
        <f t="shared" si="4"/>
        <v>1291.8800000000001</v>
      </c>
      <c r="M21" s="428">
        <v>317.82</v>
      </c>
      <c r="N21" s="429">
        <v>634.16999999999996</v>
      </c>
      <c r="O21" s="427">
        <v>339.89</v>
      </c>
      <c r="P21" s="427">
        <f t="shared" si="5"/>
        <v>2324.7000000000003</v>
      </c>
      <c r="Q21" s="428">
        <v>31.26</v>
      </c>
      <c r="R21" s="429">
        <v>127.65</v>
      </c>
      <c r="S21" s="427">
        <v>306.39</v>
      </c>
      <c r="T21" s="429">
        <v>484.68</v>
      </c>
      <c r="U21" s="427">
        <v>157.87</v>
      </c>
      <c r="V21" s="429">
        <v>447.97</v>
      </c>
      <c r="W21" s="427">
        <v>306.01</v>
      </c>
      <c r="X21" s="429">
        <v>352.09</v>
      </c>
      <c r="Y21" s="427">
        <v>59.96</v>
      </c>
      <c r="Z21" s="429">
        <v>50.82</v>
      </c>
      <c r="AA21" s="427">
        <v>220.93</v>
      </c>
      <c r="AB21" s="107"/>
      <c r="AC21" s="107"/>
      <c r="AD21" s="107"/>
      <c r="AE21" s="107"/>
      <c r="AF21" s="107"/>
      <c r="AG21" s="107"/>
      <c r="AH21" s="107"/>
      <c r="AI21" s="107"/>
      <c r="AJ21" s="107"/>
      <c r="AK21" s="107"/>
      <c r="AL21" s="107"/>
    </row>
    <row r="22" spans="1:38" s="105" customFormat="1" ht="14">
      <c r="A22" s="417"/>
      <c r="B22" s="411" t="s">
        <v>233</v>
      </c>
      <c r="C22" s="435">
        <f t="shared" si="0"/>
        <v>5619.8600000000006</v>
      </c>
      <c r="D22" s="426">
        <f t="shared" si="1"/>
        <v>5427.81</v>
      </c>
      <c r="E22" s="425">
        <f t="shared" si="2"/>
        <v>2996.85</v>
      </c>
      <c r="F22" s="427">
        <f t="shared" si="3"/>
        <v>1652.31</v>
      </c>
      <c r="G22" s="428">
        <v>46.53</v>
      </c>
      <c r="H22" s="429">
        <v>139.24</v>
      </c>
      <c r="I22" s="427">
        <v>0.96</v>
      </c>
      <c r="J22" s="429">
        <v>253.64</v>
      </c>
      <c r="K22" s="427">
        <v>1211.94</v>
      </c>
      <c r="L22" s="427">
        <f t="shared" si="4"/>
        <v>1344.54</v>
      </c>
      <c r="M22" s="428">
        <v>317.26</v>
      </c>
      <c r="N22" s="429">
        <v>639.12</v>
      </c>
      <c r="O22" s="427">
        <v>388.16</v>
      </c>
      <c r="P22" s="427">
        <f t="shared" si="5"/>
        <v>2430.9600000000005</v>
      </c>
      <c r="Q22" s="428">
        <v>36.729999999999997</v>
      </c>
      <c r="R22" s="429">
        <v>122.99</v>
      </c>
      <c r="S22" s="427">
        <v>292.3</v>
      </c>
      <c r="T22" s="429">
        <v>527.70000000000005</v>
      </c>
      <c r="U22" s="427">
        <v>163.63999999999999</v>
      </c>
      <c r="V22" s="429">
        <v>463.16</v>
      </c>
      <c r="W22" s="427">
        <v>325.48</v>
      </c>
      <c r="X22" s="429">
        <v>389.79</v>
      </c>
      <c r="Y22" s="427">
        <v>59.59</v>
      </c>
      <c r="Z22" s="429">
        <v>49.58</v>
      </c>
      <c r="AA22" s="427">
        <v>192.05</v>
      </c>
      <c r="AB22" s="107"/>
      <c r="AC22" s="107"/>
      <c r="AD22" s="107"/>
      <c r="AE22" s="107"/>
      <c r="AF22" s="107"/>
      <c r="AG22" s="107"/>
      <c r="AH22" s="107"/>
      <c r="AI22" s="107"/>
      <c r="AJ22" s="107"/>
      <c r="AK22" s="107"/>
      <c r="AL22" s="107"/>
    </row>
    <row r="23" spans="1:38" s="105" customFormat="1" ht="14">
      <c r="A23" s="418"/>
      <c r="B23" s="412" t="s">
        <v>234</v>
      </c>
      <c r="C23" s="434">
        <f t="shared" si="0"/>
        <v>5712.3</v>
      </c>
      <c r="D23" s="430">
        <f t="shared" si="1"/>
        <v>5515.27</v>
      </c>
      <c r="E23" s="430">
        <f t="shared" si="2"/>
        <v>2993.88</v>
      </c>
      <c r="F23" s="431">
        <f t="shared" si="3"/>
        <v>1614.64</v>
      </c>
      <c r="G23" s="432">
        <v>42.59</v>
      </c>
      <c r="H23" s="433">
        <v>142.63999999999999</v>
      </c>
      <c r="I23" s="431">
        <v>0.36</v>
      </c>
      <c r="J23" s="433">
        <v>241.67</v>
      </c>
      <c r="K23" s="431">
        <v>1187.3800000000001</v>
      </c>
      <c r="L23" s="431">
        <f t="shared" si="4"/>
        <v>1379.24</v>
      </c>
      <c r="M23" s="432">
        <v>313.44</v>
      </c>
      <c r="N23" s="433">
        <v>650.53</v>
      </c>
      <c r="O23" s="431">
        <v>415.27</v>
      </c>
      <c r="P23" s="431">
        <f t="shared" si="5"/>
        <v>2521.39</v>
      </c>
      <c r="Q23" s="432">
        <v>37.26</v>
      </c>
      <c r="R23" s="433">
        <v>128.94</v>
      </c>
      <c r="S23" s="431">
        <v>294.24</v>
      </c>
      <c r="T23" s="433">
        <v>652.79999999999995</v>
      </c>
      <c r="U23" s="431">
        <v>137.41</v>
      </c>
      <c r="V23" s="433">
        <v>460.1</v>
      </c>
      <c r="W23" s="431">
        <v>302.63</v>
      </c>
      <c r="X23" s="433">
        <v>412.04</v>
      </c>
      <c r="Y23" s="431">
        <v>44.66</v>
      </c>
      <c r="Z23" s="433">
        <v>51.31</v>
      </c>
      <c r="AA23" s="431">
        <v>197.03</v>
      </c>
      <c r="AB23" s="107"/>
      <c r="AC23" s="107"/>
      <c r="AD23" s="107"/>
      <c r="AE23" s="107"/>
      <c r="AF23" s="107"/>
      <c r="AG23" s="107"/>
      <c r="AH23" s="107"/>
      <c r="AI23" s="107"/>
      <c r="AJ23" s="107"/>
      <c r="AK23" s="107"/>
      <c r="AL23" s="107"/>
    </row>
    <row r="24" spans="1:38" s="105" customFormat="1" ht="14.25" customHeight="1">
      <c r="A24" s="417">
        <v>2015</v>
      </c>
      <c r="B24" s="413" t="s">
        <v>231</v>
      </c>
      <c r="C24" s="435">
        <f t="shared" si="0"/>
        <v>5616.83</v>
      </c>
      <c r="D24" s="426">
        <f t="shared" si="1"/>
        <v>5409.5</v>
      </c>
      <c r="E24" s="425">
        <f t="shared" si="2"/>
        <v>2920.64</v>
      </c>
      <c r="F24" s="427">
        <f t="shared" si="3"/>
        <v>1509.73</v>
      </c>
      <c r="G24" s="428">
        <v>36.369999999999997</v>
      </c>
      <c r="H24" s="422">
        <v>135.19999999999999</v>
      </c>
      <c r="I24" s="427">
        <v>0.28000000000000003</v>
      </c>
      <c r="J24" s="422">
        <v>235.54</v>
      </c>
      <c r="K24" s="422">
        <v>1102.3399999999999</v>
      </c>
      <c r="L24" s="427">
        <f t="shared" si="4"/>
        <v>1410.9099999999999</v>
      </c>
      <c r="M24" s="428">
        <v>321.66000000000003</v>
      </c>
      <c r="N24" s="429">
        <v>651.88</v>
      </c>
      <c r="O24" s="427">
        <v>437.37</v>
      </c>
      <c r="P24" s="427">
        <f t="shared" si="5"/>
        <v>2488.86</v>
      </c>
      <c r="Q24" s="428">
        <v>37.19</v>
      </c>
      <c r="R24" s="422">
        <v>120.85</v>
      </c>
      <c r="S24" s="422">
        <v>282.69</v>
      </c>
      <c r="T24" s="429">
        <v>335.07</v>
      </c>
      <c r="U24" s="427">
        <v>117.88</v>
      </c>
      <c r="V24" s="429">
        <v>416.7</v>
      </c>
      <c r="W24" s="422">
        <v>682.29</v>
      </c>
      <c r="X24" s="436">
        <v>397.87</v>
      </c>
      <c r="Y24" s="436">
        <v>48.15</v>
      </c>
      <c r="Z24" s="436">
        <v>50.17</v>
      </c>
      <c r="AA24" s="437">
        <v>207.33</v>
      </c>
      <c r="AB24" s="107"/>
      <c r="AC24" s="107"/>
      <c r="AD24" s="107"/>
      <c r="AE24" s="107"/>
      <c r="AF24" s="107"/>
      <c r="AG24" s="107"/>
      <c r="AH24" s="107"/>
      <c r="AI24" s="107"/>
      <c r="AJ24" s="107"/>
      <c r="AK24" s="107"/>
      <c r="AL24" s="107"/>
    </row>
    <row r="25" spans="1:38" s="105" customFormat="1" ht="15" customHeight="1">
      <c r="A25" s="417"/>
      <c r="B25" s="411" t="s">
        <v>232</v>
      </c>
      <c r="C25" s="435">
        <f t="shared" si="0"/>
        <v>5884.2499999999991</v>
      </c>
      <c r="D25" s="426">
        <f t="shared" si="1"/>
        <v>5673.9699999999993</v>
      </c>
      <c r="E25" s="425">
        <f t="shared" si="2"/>
        <v>2921.14</v>
      </c>
      <c r="F25" s="427">
        <f t="shared" si="3"/>
        <v>1469.62</v>
      </c>
      <c r="G25" s="428">
        <v>22.93</v>
      </c>
      <c r="H25" s="427">
        <v>143.01</v>
      </c>
      <c r="I25" s="427">
        <v>0.23</v>
      </c>
      <c r="J25" s="429">
        <v>229.7</v>
      </c>
      <c r="K25" s="427">
        <v>1073.75</v>
      </c>
      <c r="L25" s="427">
        <f t="shared" si="4"/>
        <v>1451.52</v>
      </c>
      <c r="M25" s="428">
        <v>333.68</v>
      </c>
      <c r="N25" s="427">
        <v>663.74</v>
      </c>
      <c r="O25" s="427">
        <v>454.1</v>
      </c>
      <c r="P25" s="427">
        <f t="shared" si="5"/>
        <v>2752.83</v>
      </c>
      <c r="Q25" s="428">
        <v>11.36</v>
      </c>
      <c r="R25" s="429">
        <v>125.56</v>
      </c>
      <c r="S25" s="427">
        <v>529.4</v>
      </c>
      <c r="T25" s="427">
        <v>295.20999999999998</v>
      </c>
      <c r="U25" s="427">
        <v>122.64</v>
      </c>
      <c r="V25" s="427">
        <v>471.11</v>
      </c>
      <c r="W25" s="427">
        <v>736.22</v>
      </c>
      <c r="X25" s="438">
        <v>377.52</v>
      </c>
      <c r="Y25" s="438">
        <v>44.14</v>
      </c>
      <c r="Z25" s="438">
        <v>39.67</v>
      </c>
      <c r="AA25" s="438">
        <v>210.28</v>
      </c>
      <c r="AB25" s="107"/>
      <c r="AC25" s="107"/>
      <c r="AD25" s="107"/>
      <c r="AE25" s="107"/>
      <c r="AF25" s="107"/>
      <c r="AG25" s="107"/>
      <c r="AH25" s="107"/>
      <c r="AI25" s="107"/>
      <c r="AJ25" s="107"/>
      <c r="AK25" s="107"/>
      <c r="AL25" s="107"/>
    </row>
    <row r="26" spans="1:38" s="105" customFormat="1" ht="14.25" customHeight="1">
      <c r="A26" s="417"/>
      <c r="B26" s="414" t="s">
        <v>233</v>
      </c>
      <c r="C26" s="435">
        <f t="shared" si="0"/>
        <v>6038.39</v>
      </c>
      <c r="D26" s="426">
        <f t="shared" si="1"/>
        <v>5827.39</v>
      </c>
      <c r="E26" s="425">
        <f t="shared" si="2"/>
        <v>2983.5600000000004</v>
      </c>
      <c r="F26" s="427">
        <f t="shared" si="3"/>
        <v>1544.44</v>
      </c>
      <c r="G26" s="428">
        <v>19.64</v>
      </c>
      <c r="H26" s="427">
        <v>138.57</v>
      </c>
      <c r="I26" s="427">
        <v>0.15</v>
      </c>
      <c r="J26" s="427">
        <v>197.84</v>
      </c>
      <c r="K26" s="427">
        <v>1188.24</v>
      </c>
      <c r="L26" s="427">
        <f t="shared" si="4"/>
        <v>1439.1200000000001</v>
      </c>
      <c r="M26" s="428">
        <v>284.76</v>
      </c>
      <c r="N26" s="428">
        <v>692.32</v>
      </c>
      <c r="O26" s="427">
        <v>462.04</v>
      </c>
      <c r="P26" s="427">
        <f t="shared" si="5"/>
        <v>2843.83</v>
      </c>
      <c r="Q26" s="428">
        <v>11.67</v>
      </c>
      <c r="R26" s="427">
        <v>127.53</v>
      </c>
      <c r="S26" s="427">
        <v>529.32000000000005</v>
      </c>
      <c r="T26" s="427">
        <v>323.81</v>
      </c>
      <c r="U26" s="427">
        <v>135.13999999999999</v>
      </c>
      <c r="V26" s="427">
        <v>483.97</v>
      </c>
      <c r="W26" s="427">
        <v>759.1</v>
      </c>
      <c r="X26" s="438">
        <v>385.6</v>
      </c>
      <c r="Y26" s="438">
        <v>43.57</v>
      </c>
      <c r="Z26" s="438">
        <v>44.12</v>
      </c>
      <c r="AA26" s="438">
        <v>211</v>
      </c>
      <c r="AB26" s="107"/>
      <c r="AC26" s="107"/>
      <c r="AD26" s="107"/>
      <c r="AE26" s="107"/>
      <c r="AF26" s="107"/>
      <c r="AG26" s="107"/>
      <c r="AH26" s="107"/>
      <c r="AI26" s="107"/>
      <c r="AJ26" s="107"/>
      <c r="AK26" s="107"/>
      <c r="AL26" s="107"/>
    </row>
    <row r="27" spans="1:38" s="105" customFormat="1" ht="14.25" customHeight="1">
      <c r="A27" s="418"/>
      <c r="B27" s="412" t="s">
        <v>234</v>
      </c>
      <c r="C27" s="434">
        <f t="shared" si="0"/>
        <v>6114.77</v>
      </c>
      <c r="D27" s="430">
        <f t="shared" si="1"/>
        <v>5951.1</v>
      </c>
      <c r="E27" s="430">
        <f t="shared" si="2"/>
        <v>3096.08</v>
      </c>
      <c r="F27" s="431">
        <f t="shared" si="3"/>
        <v>1654.13</v>
      </c>
      <c r="G27" s="432">
        <v>16.34</v>
      </c>
      <c r="H27" s="431">
        <v>139.6</v>
      </c>
      <c r="I27" s="431">
        <v>0.12</v>
      </c>
      <c r="J27" s="431">
        <v>162.15</v>
      </c>
      <c r="K27" s="431">
        <v>1335.92</v>
      </c>
      <c r="L27" s="431">
        <f t="shared" si="4"/>
        <v>1441.95</v>
      </c>
      <c r="M27" s="432">
        <v>290.60000000000002</v>
      </c>
      <c r="N27" s="432">
        <v>717.1</v>
      </c>
      <c r="O27" s="431">
        <v>434.25</v>
      </c>
      <c r="P27" s="431">
        <f t="shared" si="5"/>
        <v>2855.02</v>
      </c>
      <c r="Q27" s="432">
        <v>11.88</v>
      </c>
      <c r="R27" s="431">
        <v>69.42</v>
      </c>
      <c r="S27" s="431">
        <v>535.17999999999995</v>
      </c>
      <c r="T27" s="431">
        <v>329.6</v>
      </c>
      <c r="U27" s="431">
        <v>128.38999999999999</v>
      </c>
      <c r="V27" s="431">
        <v>471.36</v>
      </c>
      <c r="W27" s="431">
        <v>796.42</v>
      </c>
      <c r="X27" s="439">
        <v>427.53</v>
      </c>
      <c r="Y27" s="439">
        <v>44.71</v>
      </c>
      <c r="Z27" s="439">
        <v>40.53</v>
      </c>
      <c r="AA27" s="439">
        <v>163.66999999999999</v>
      </c>
      <c r="AB27" s="107"/>
      <c r="AC27" s="107"/>
      <c r="AD27" s="107"/>
      <c r="AE27" s="107"/>
      <c r="AF27" s="107"/>
      <c r="AG27" s="107"/>
      <c r="AH27" s="107"/>
      <c r="AI27" s="107"/>
      <c r="AJ27" s="107"/>
      <c r="AK27" s="107"/>
      <c r="AL27" s="107"/>
    </row>
    <row r="28" spans="1:38" s="105" customFormat="1" ht="15" customHeight="1">
      <c r="A28" s="416">
        <v>2016</v>
      </c>
      <c r="B28" s="413" t="s">
        <v>231</v>
      </c>
      <c r="C28" s="435">
        <f t="shared" si="0"/>
        <v>6091.9900000000007</v>
      </c>
      <c r="D28" s="426">
        <f t="shared" si="1"/>
        <v>5950.3200000000006</v>
      </c>
      <c r="E28" s="425">
        <f t="shared" si="2"/>
        <v>3080.09</v>
      </c>
      <c r="F28" s="427">
        <f t="shared" si="3"/>
        <v>1662.31</v>
      </c>
      <c r="G28" s="423">
        <v>18.86</v>
      </c>
      <c r="H28" s="422">
        <v>130.94999999999999</v>
      </c>
      <c r="I28" s="422">
        <v>0.11</v>
      </c>
      <c r="J28" s="422">
        <v>149.82</v>
      </c>
      <c r="K28" s="422">
        <v>1362.57</v>
      </c>
      <c r="L28" s="427">
        <f t="shared" si="4"/>
        <v>1417.78</v>
      </c>
      <c r="M28" s="423">
        <v>277.14999999999998</v>
      </c>
      <c r="N28" s="422">
        <v>717.44</v>
      </c>
      <c r="O28" s="422">
        <v>423.19</v>
      </c>
      <c r="P28" s="427">
        <f t="shared" si="5"/>
        <v>2870.2300000000005</v>
      </c>
      <c r="Q28" s="423">
        <v>13.32</v>
      </c>
      <c r="R28" s="422">
        <v>165.5</v>
      </c>
      <c r="S28" s="422">
        <v>567.55999999999995</v>
      </c>
      <c r="T28" s="422">
        <v>313.2</v>
      </c>
      <c r="U28" s="422">
        <v>125.7</v>
      </c>
      <c r="V28" s="422">
        <v>445.27</v>
      </c>
      <c r="W28" s="422">
        <v>721.64</v>
      </c>
      <c r="X28" s="436">
        <v>440.8</v>
      </c>
      <c r="Y28" s="436">
        <v>38.229999999999997</v>
      </c>
      <c r="Z28" s="436">
        <v>39.01</v>
      </c>
      <c r="AA28" s="436">
        <v>141.66999999999999</v>
      </c>
      <c r="AB28" s="107"/>
      <c r="AC28" s="107"/>
      <c r="AD28" s="107"/>
      <c r="AE28" s="107"/>
      <c r="AF28" s="107"/>
      <c r="AG28" s="107"/>
      <c r="AH28" s="107"/>
      <c r="AI28" s="107"/>
      <c r="AJ28" s="107"/>
      <c r="AK28" s="107"/>
      <c r="AL28" s="107"/>
    </row>
    <row r="29" spans="1:38" s="105" customFormat="1" ht="14.25" customHeight="1">
      <c r="A29" s="417"/>
      <c r="B29" s="414" t="s">
        <v>232</v>
      </c>
      <c r="C29" s="435">
        <f t="shared" si="0"/>
        <v>6017.8899999999994</v>
      </c>
      <c r="D29" s="426">
        <f t="shared" si="1"/>
        <v>5837.8799999999992</v>
      </c>
      <c r="E29" s="425">
        <f t="shared" si="2"/>
        <v>3063.21</v>
      </c>
      <c r="F29" s="427">
        <f t="shared" si="3"/>
        <v>1654.81</v>
      </c>
      <c r="G29" s="428">
        <v>10.47</v>
      </c>
      <c r="H29" s="427">
        <v>129.77000000000001</v>
      </c>
      <c r="I29" s="427">
        <v>0.1</v>
      </c>
      <c r="J29" s="427">
        <v>136.38</v>
      </c>
      <c r="K29" s="427">
        <v>1378.09</v>
      </c>
      <c r="L29" s="427">
        <f t="shared" si="4"/>
        <v>1408.4</v>
      </c>
      <c r="M29" s="428">
        <v>275.16000000000003</v>
      </c>
      <c r="N29" s="427">
        <v>723.26</v>
      </c>
      <c r="O29" s="427">
        <v>409.98</v>
      </c>
      <c r="P29" s="427">
        <f t="shared" si="5"/>
        <v>2774.6699999999996</v>
      </c>
      <c r="Q29" s="428">
        <v>13.54</v>
      </c>
      <c r="R29" s="427">
        <v>178.76</v>
      </c>
      <c r="S29" s="427">
        <v>539.96</v>
      </c>
      <c r="T29" s="427">
        <v>303.39</v>
      </c>
      <c r="U29" s="427">
        <v>103.77</v>
      </c>
      <c r="V29" s="427">
        <v>450.59</v>
      </c>
      <c r="W29" s="427">
        <v>732.31</v>
      </c>
      <c r="X29" s="438">
        <v>389.28</v>
      </c>
      <c r="Y29" s="438">
        <v>34.340000000000003</v>
      </c>
      <c r="Z29" s="438">
        <v>28.73</v>
      </c>
      <c r="AA29" s="438">
        <v>180.01</v>
      </c>
      <c r="AB29" s="107"/>
      <c r="AC29" s="107"/>
      <c r="AD29" s="107"/>
      <c r="AE29" s="107"/>
      <c r="AF29" s="107"/>
      <c r="AG29" s="107"/>
      <c r="AH29" s="107"/>
      <c r="AI29" s="107"/>
      <c r="AJ29" s="107"/>
      <c r="AK29" s="107"/>
      <c r="AL29" s="107"/>
    </row>
    <row r="30" spans="1:38" s="105" customFormat="1" ht="14.25" customHeight="1">
      <c r="A30" s="417"/>
      <c r="B30" s="414" t="s">
        <v>233</v>
      </c>
      <c r="C30" s="435">
        <f t="shared" si="0"/>
        <v>5901.53</v>
      </c>
      <c r="D30" s="426">
        <f t="shared" si="1"/>
        <v>5733.17</v>
      </c>
      <c r="E30" s="425">
        <f t="shared" si="2"/>
        <v>3060.53</v>
      </c>
      <c r="F30" s="427">
        <f t="shared" si="3"/>
        <v>1654.69</v>
      </c>
      <c r="G30" s="428">
        <v>8.82</v>
      </c>
      <c r="H30" s="427">
        <v>128.30000000000001</v>
      </c>
      <c r="I30" s="427">
        <v>0.1</v>
      </c>
      <c r="J30" s="427">
        <v>128.12</v>
      </c>
      <c r="K30" s="427">
        <v>1389.35</v>
      </c>
      <c r="L30" s="427">
        <f t="shared" si="4"/>
        <v>1405.8400000000001</v>
      </c>
      <c r="M30" s="428">
        <v>271.73</v>
      </c>
      <c r="N30" s="427">
        <v>726.47</v>
      </c>
      <c r="O30" s="427">
        <v>407.64</v>
      </c>
      <c r="P30" s="427">
        <f t="shared" si="5"/>
        <v>2672.6400000000003</v>
      </c>
      <c r="Q30" s="428">
        <v>16.36</v>
      </c>
      <c r="R30" s="427">
        <v>142.72</v>
      </c>
      <c r="S30" s="427">
        <v>507.25</v>
      </c>
      <c r="T30" s="427">
        <v>297.92</v>
      </c>
      <c r="U30" s="427">
        <v>102.3</v>
      </c>
      <c r="V30" s="427">
        <v>433.85</v>
      </c>
      <c r="W30" s="427">
        <v>713.97</v>
      </c>
      <c r="X30" s="438">
        <v>395.82</v>
      </c>
      <c r="Y30" s="438">
        <v>34.11</v>
      </c>
      <c r="Z30" s="438">
        <v>28.34</v>
      </c>
      <c r="AA30" s="438">
        <v>168.36</v>
      </c>
      <c r="AB30" s="107"/>
      <c r="AC30" s="107"/>
      <c r="AD30" s="107"/>
      <c r="AE30" s="107"/>
      <c r="AF30" s="107"/>
      <c r="AG30" s="107"/>
      <c r="AH30" s="107"/>
      <c r="AI30" s="107"/>
      <c r="AJ30" s="107"/>
      <c r="AK30" s="107"/>
      <c r="AL30" s="107"/>
    </row>
    <row r="31" spans="1:38" s="105" customFormat="1" ht="14.25" customHeight="1">
      <c r="A31" s="418"/>
      <c r="B31" s="415" t="s">
        <v>234</v>
      </c>
      <c r="C31" s="434">
        <f t="shared" si="0"/>
        <v>5404.2599999999993</v>
      </c>
      <c r="D31" s="430">
        <f t="shared" si="1"/>
        <v>5310.7099999999991</v>
      </c>
      <c r="E31" s="430">
        <f t="shared" si="2"/>
        <v>3054.6099999999997</v>
      </c>
      <c r="F31" s="431">
        <f t="shared" si="3"/>
        <v>1644.6299999999999</v>
      </c>
      <c r="G31" s="432">
        <v>7.55</v>
      </c>
      <c r="H31" s="431">
        <v>127.12</v>
      </c>
      <c r="I31" s="431">
        <v>0.09</v>
      </c>
      <c r="J31" s="431">
        <v>120.82</v>
      </c>
      <c r="K31" s="431">
        <v>1389.05</v>
      </c>
      <c r="L31" s="431">
        <f t="shared" si="4"/>
        <v>1409.98</v>
      </c>
      <c r="M31" s="432">
        <v>281.89</v>
      </c>
      <c r="N31" s="431">
        <v>720.69</v>
      </c>
      <c r="O31" s="431">
        <v>407.4</v>
      </c>
      <c r="P31" s="431">
        <f t="shared" si="5"/>
        <v>2256.1</v>
      </c>
      <c r="Q31" s="432">
        <v>17.739999999999998</v>
      </c>
      <c r="R31" s="431">
        <v>65.680000000000007</v>
      </c>
      <c r="S31" s="431">
        <v>218.12</v>
      </c>
      <c r="T31" s="431">
        <v>297.92</v>
      </c>
      <c r="U31" s="431">
        <v>75.66</v>
      </c>
      <c r="V31" s="431">
        <v>406.65</v>
      </c>
      <c r="W31" s="431">
        <v>687.29</v>
      </c>
      <c r="X31" s="439">
        <v>425.89</v>
      </c>
      <c r="Y31" s="439">
        <v>39.42</v>
      </c>
      <c r="Z31" s="439">
        <v>21.73</v>
      </c>
      <c r="AA31" s="439">
        <v>93.55</v>
      </c>
      <c r="AB31" s="107"/>
      <c r="AC31" s="107"/>
      <c r="AD31" s="107"/>
      <c r="AE31" s="107"/>
      <c r="AF31" s="107"/>
      <c r="AG31" s="107"/>
      <c r="AH31" s="107"/>
      <c r="AI31" s="107"/>
      <c r="AJ31" s="107"/>
      <c r="AK31" s="107"/>
      <c r="AL31" s="107"/>
    </row>
    <row r="32" spans="1:38" s="105" customFormat="1" ht="15" customHeight="1">
      <c r="A32" s="416">
        <v>2017</v>
      </c>
      <c r="B32" s="413" t="s">
        <v>231</v>
      </c>
      <c r="C32" s="435">
        <f t="shared" si="0"/>
        <v>5245.11</v>
      </c>
      <c r="D32" s="426">
        <f t="shared" si="1"/>
        <v>5124.74</v>
      </c>
      <c r="E32" s="425">
        <f t="shared" si="2"/>
        <v>2991.63</v>
      </c>
      <c r="F32" s="425">
        <f t="shared" si="3"/>
        <v>1607.76</v>
      </c>
      <c r="G32" s="440">
        <v>5.95</v>
      </c>
      <c r="H32" s="421">
        <v>114.89</v>
      </c>
      <c r="I32" s="421">
        <v>0.08</v>
      </c>
      <c r="J32" s="421">
        <v>114.42</v>
      </c>
      <c r="K32" s="421">
        <v>1372.42</v>
      </c>
      <c r="L32" s="425">
        <f t="shared" si="4"/>
        <v>1383.87</v>
      </c>
      <c r="M32" s="440">
        <v>265.7</v>
      </c>
      <c r="N32" s="421">
        <v>715.05</v>
      </c>
      <c r="O32" s="421">
        <v>403.12</v>
      </c>
      <c r="P32" s="425">
        <f t="shared" si="5"/>
        <v>2133.11</v>
      </c>
      <c r="Q32" s="440">
        <v>19.05</v>
      </c>
      <c r="R32" s="421">
        <v>39.659999999999997</v>
      </c>
      <c r="S32" s="421">
        <v>204.34</v>
      </c>
      <c r="T32" s="421">
        <v>279.37</v>
      </c>
      <c r="U32" s="421">
        <v>73.55</v>
      </c>
      <c r="V32" s="421">
        <v>392.34</v>
      </c>
      <c r="W32" s="421">
        <v>682.26</v>
      </c>
      <c r="X32" s="436">
        <v>386.99</v>
      </c>
      <c r="Y32" s="436">
        <v>39.520000000000003</v>
      </c>
      <c r="Z32" s="436">
        <v>16.03</v>
      </c>
      <c r="AA32" s="436">
        <v>120.37</v>
      </c>
      <c r="AB32" s="107"/>
      <c r="AC32" s="107"/>
      <c r="AD32" s="107"/>
      <c r="AE32" s="107"/>
      <c r="AF32" s="107"/>
      <c r="AG32" s="107"/>
      <c r="AH32" s="107"/>
      <c r="AI32" s="107"/>
      <c r="AJ32" s="107"/>
      <c r="AK32" s="107"/>
      <c r="AL32" s="107"/>
    </row>
    <row r="33" spans="1:38" s="105" customFormat="1" ht="15" customHeight="1">
      <c r="A33" s="417"/>
      <c r="B33" s="414" t="s">
        <v>232</v>
      </c>
      <c r="C33" s="435">
        <f t="shared" ref="C33:C44" si="6">F33+L33+P33+AA33</f>
        <v>5217.67</v>
      </c>
      <c r="D33" s="425">
        <f t="shared" ref="D33:D44" si="7">E33+P33</f>
        <v>5100.2700000000004</v>
      </c>
      <c r="E33" s="425">
        <f t="shared" ref="E33:E44" si="8">F33+L33</f>
        <v>2981.21</v>
      </c>
      <c r="F33" s="425">
        <f t="shared" ref="F33:F44" si="9">G33+H33+I33+J33+K33</f>
        <v>1621.88</v>
      </c>
      <c r="G33" s="441">
        <v>6.93</v>
      </c>
      <c r="H33" s="425">
        <v>117.35</v>
      </c>
      <c r="I33" s="425">
        <v>0.06</v>
      </c>
      <c r="J33" s="425">
        <v>107.51</v>
      </c>
      <c r="K33" s="425">
        <v>1390.03</v>
      </c>
      <c r="L33" s="425">
        <f t="shared" si="4"/>
        <v>1359.33</v>
      </c>
      <c r="M33" s="441">
        <v>219.01</v>
      </c>
      <c r="N33" s="425">
        <v>730.49</v>
      </c>
      <c r="O33" s="425">
        <v>409.83</v>
      </c>
      <c r="P33" s="425">
        <f t="shared" ref="P33:P64" si="10">Q33+R33+S33+T33+U33+V33+W33+X33+Y33+Z33</f>
        <v>2119.0600000000004</v>
      </c>
      <c r="Q33" s="441">
        <v>28.88</v>
      </c>
      <c r="R33" s="425">
        <v>37.65</v>
      </c>
      <c r="S33" s="425">
        <v>223.1</v>
      </c>
      <c r="T33" s="425">
        <v>250.3</v>
      </c>
      <c r="U33" s="425">
        <v>73.489999999999995</v>
      </c>
      <c r="V33" s="425">
        <v>389.64</v>
      </c>
      <c r="W33" s="425">
        <v>674.05</v>
      </c>
      <c r="X33" s="438">
        <v>389.05</v>
      </c>
      <c r="Y33" s="438">
        <v>38.979999999999997</v>
      </c>
      <c r="Z33" s="438">
        <v>13.92</v>
      </c>
      <c r="AA33" s="438">
        <v>117.4</v>
      </c>
      <c r="AB33" s="107"/>
      <c r="AC33" s="107"/>
      <c r="AD33" s="107"/>
      <c r="AE33" s="107"/>
      <c r="AF33" s="107"/>
      <c r="AG33" s="107"/>
      <c r="AH33" s="107"/>
      <c r="AI33" s="107"/>
      <c r="AJ33" s="107"/>
      <c r="AK33" s="107"/>
      <c r="AL33" s="107"/>
    </row>
    <row r="34" spans="1:38" s="105" customFormat="1" ht="15" customHeight="1">
      <c r="A34" s="417"/>
      <c r="B34" s="414" t="s">
        <v>233</v>
      </c>
      <c r="C34" s="435">
        <f t="shared" si="6"/>
        <v>5186.0999999999995</v>
      </c>
      <c r="D34" s="425">
        <f t="shared" si="7"/>
        <v>5088.1399999999994</v>
      </c>
      <c r="E34" s="425">
        <f t="shared" si="8"/>
        <v>2988.7799999999997</v>
      </c>
      <c r="F34" s="425">
        <f t="shared" si="9"/>
        <v>1621.73</v>
      </c>
      <c r="G34" s="441">
        <v>6.3</v>
      </c>
      <c r="H34" s="425">
        <v>114.08</v>
      </c>
      <c r="I34" s="425">
        <v>0.05</v>
      </c>
      <c r="J34" s="425">
        <v>100.07</v>
      </c>
      <c r="K34" s="425">
        <v>1401.23</v>
      </c>
      <c r="L34" s="425">
        <f t="shared" si="4"/>
        <v>1367.05</v>
      </c>
      <c r="M34" s="441">
        <v>221.67</v>
      </c>
      <c r="N34" s="425">
        <v>726.09</v>
      </c>
      <c r="O34" s="425">
        <v>419.29</v>
      </c>
      <c r="P34" s="425">
        <f t="shared" si="10"/>
        <v>2099.3599999999997</v>
      </c>
      <c r="Q34" s="441">
        <v>31.53</v>
      </c>
      <c r="R34" s="425">
        <v>36.700000000000003</v>
      </c>
      <c r="S34" s="425">
        <v>216.86</v>
      </c>
      <c r="T34" s="425">
        <v>236.39</v>
      </c>
      <c r="U34" s="425">
        <v>63.97</v>
      </c>
      <c r="V34" s="425">
        <v>383.54</v>
      </c>
      <c r="W34" s="425">
        <v>665.42</v>
      </c>
      <c r="X34" s="438">
        <v>413.79</v>
      </c>
      <c r="Y34" s="438">
        <v>36.71</v>
      </c>
      <c r="Z34" s="438">
        <v>14.45</v>
      </c>
      <c r="AA34" s="438">
        <v>97.96</v>
      </c>
      <c r="AB34" s="107"/>
      <c r="AC34" s="107"/>
      <c r="AD34" s="107"/>
      <c r="AE34" s="107"/>
      <c r="AF34" s="107"/>
      <c r="AG34" s="107"/>
      <c r="AH34" s="107"/>
      <c r="AI34" s="107"/>
      <c r="AJ34" s="107"/>
      <c r="AK34" s="107"/>
      <c r="AL34" s="107"/>
    </row>
    <row r="35" spans="1:38" s="105" customFormat="1" ht="15" customHeight="1">
      <c r="A35" s="418"/>
      <c r="B35" s="415" t="s">
        <v>234</v>
      </c>
      <c r="C35" s="434">
        <f t="shared" si="6"/>
        <v>5129.8900000000003</v>
      </c>
      <c r="D35" s="430">
        <f t="shared" si="7"/>
        <v>5024.5</v>
      </c>
      <c r="E35" s="430">
        <f t="shared" si="8"/>
        <v>2970.1099999999997</v>
      </c>
      <c r="F35" s="430">
        <f t="shared" si="9"/>
        <v>1591.6399999999999</v>
      </c>
      <c r="G35" s="442">
        <v>5.24</v>
      </c>
      <c r="H35" s="430">
        <v>114.2</v>
      </c>
      <c r="I35" s="430">
        <v>0.04</v>
      </c>
      <c r="J35" s="430">
        <v>91.86</v>
      </c>
      <c r="K35" s="430">
        <v>1380.3</v>
      </c>
      <c r="L35" s="430">
        <f t="shared" si="4"/>
        <v>1378.47</v>
      </c>
      <c r="M35" s="442">
        <v>217.04</v>
      </c>
      <c r="N35" s="430">
        <v>738.73</v>
      </c>
      <c r="O35" s="430">
        <v>422.7</v>
      </c>
      <c r="P35" s="430">
        <f t="shared" si="10"/>
        <v>2054.3900000000003</v>
      </c>
      <c r="Q35" s="442">
        <v>31.69</v>
      </c>
      <c r="R35" s="430">
        <v>20.399999999999999</v>
      </c>
      <c r="S35" s="430">
        <v>220.38</v>
      </c>
      <c r="T35" s="430">
        <v>208.68</v>
      </c>
      <c r="U35" s="430">
        <v>60.08</v>
      </c>
      <c r="V35" s="430">
        <v>395.51</v>
      </c>
      <c r="W35" s="430">
        <v>671.11</v>
      </c>
      <c r="X35" s="439">
        <v>411.38</v>
      </c>
      <c r="Y35" s="439">
        <v>23.4</v>
      </c>
      <c r="Z35" s="439">
        <v>11.76</v>
      </c>
      <c r="AA35" s="439">
        <v>105.39</v>
      </c>
      <c r="AB35" s="107"/>
      <c r="AC35" s="107"/>
      <c r="AD35" s="107"/>
      <c r="AE35" s="107"/>
      <c r="AF35" s="107"/>
      <c r="AG35" s="107"/>
      <c r="AH35" s="107"/>
      <c r="AI35" s="107"/>
      <c r="AJ35" s="107"/>
      <c r="AK35" s="107"/>
      <c r="AL35" s="107"/>
    </row>
    <row r="36" spans="1:38" s="105" customFormat="1" ht="17.25" customHeight="1">
      <c r="A36" s="416">
        <v>2018</v>
      </c>
      <c r="B36" s="413" t="s">
        <v>231</v>
      </c>
      <c r="C36" s="419">
        <f t="shared" si="6"/>
        <v>5138.4399999999996</v>
      </c>
      <c r="D36" s="420">
        <f t="shared" si="7"/>
        <v>4960.8899999999994</v>
      </c>
      <c r="E36" s="421">
        <f t="shared" si="8"/>
        <v>2952.87</v>
      </c>
      <c r="F36" s="421">
        <f t="shared" si="9"/>
        <v>1577.1999999999998</v>
      </c>
      <c r="G36" s="440">
        <v>5.13</v>
      </c>
      <c r="H36" s="421">
        <v>111.61</v>
      </c>
      <c r="I36" s="421">
        <v>0.06</v>
      </c>
      <c r="J36" s="421">
        <v>86.56</v>
      </c>
      <c r="K36" s="421">
        <v>1373.84</v>
      </c>
      <c r="L36" s="421">
        <f t="shared" si="4"/>
        <v>1375.67</v>
      </c>
      <c r="M36" s="440">
        <v>217.32</v>
      </c>
      <c r="N36" s="421">
        <v>738.48</v>
      </c>
      <c r="O36" s="421">
        <v>419.87</v>
      </c>
      <c r="P36" s="421">
        <f t="shared" si="10"/>
        <v>2008.0199999999998</v>
      </c>
      <c r="Q36" s="440">
        <v>32.14</v>
      </c>
      <c r="R36" s="421">
        <v>46.28</v>
      </c>
      <c r="S36" s="421">
        <v>243.09</v>
      </c>
      <c r="T36" s="421">
        <v>198.77</v>
      </c>
      <c r="U36" s="421">
        <v>42.28</v>
      </c>
      <c r="V36" s="421">
        <v>399.44</v>
      </c>
      <c r="W36" s="421">
        <v>677.89</v>
      </c>
      <c r="X36" s="436">
        <v>331.01</v>
      </c>
      <c r="Y36" s="436">
        <v>27.07</v>
      </c>
      <c r="Z36" s="436">
        <v>10.050000000000001</v>
      </c>
      <c r="AA36" s="436">
        <v>177.55</v>
      </c>
      <c r="AB36" s="107"/>
      <c r="AC36" s="107"/>
      <c r="AD36" s="107"/>
      <c r="AE36" s="107"/>
      <c r="AF36" s="107"/>
      <c r="AG36" s="107"/>
      <c r="AH36" s="107"/>
      <c r="AI36" s="107"/>
      <c r="AJ36" s="107"/>
      <c r="AK36" s="107"/>
      <c r="AL36" s="107"/>
    </row>
    <row r="37" spans="1:38" s="105" customFormat="1" ht="14.25" customHeight="1">
      <c r="A37" s="417"/>
      <c r="B37" s="411" t="s">
        <v>232</v>
      </c>
      <c r="C37" s="443">
        <f t="shared" si="6"/>
        <v>5391.65</v>
      </c>
      <c r="D37" s="425">
        <f t="shared" si="7"/>
        <v>5215.8999999999996</v>
      </c>
      <c r="E37" s="425">
        <f t="shared" si="8"/>
        <v>2946.1400000000003</v>
      </c>
      <c r="F37" s="425">
        <f t="shared" si="9"/>
        <v>1571.97</v>
      </c>
      <c r="G37" s="425">
        <v>4.9400000000000004</v>
      </c>
      <c r="H37" s="425">
        <v>116.17</v>
      </c>
      <c r="I37" s="425">
        <v>0.09</v>
      </c>
      <c r="J37" s="425">
        <v>78.989999999999995</v>
      </c>
      <c r="K37" s="425">
        <v>1371.78</v>
      </c>
      <c r="L37" s="425">
        <f t="shared" si="4"/>
        <v>1374.17</v>
      </c>
      <c r="M37" s="425">
        <v>215.47</v>
      </c>
      <c r="N37" s="425">
        <v>740.05</v>
      </c>
      <c r="O37" s="425">
        <v>418.65</v>
      </c>
      <c r="P37" s="425">
        <f t="shared" si="10"/>
        <v>2269.7599999999998</v>
      </c>
      <c r="Q37" s="425">
        <v>33.299999999999997</v>
      </c>
      <c r="R37" s="425">
        <v>48.2</v>
      </c>
      <c r="S37" s="425">
        <v>248.54</v>
      </c>
      <c r="T37" s="425">
        <v>387.4</v>
      </c>
      <c r="U37" s="425">
        <v>46.41</v>
      </c>
      <c r="V37" s="425">
        <v>413.53</v>
      </c>
      <c r="W37" s="425">
        <v>727.95</v>
      </c>
      <c r="X37" s="438">
        <v>321.83</v>
      </c>
      <c r="Y37" s="438">
        <v>33.35</v>
      </c>
      <c r="Z37" s="438">
        <v>9.25</v>
      </c>
      <c r="AA37" s="438">
        <v>175.75</v>
      </c>
      <c r="AB37" s="107"/>
      <c r="AC37" s="107"/>
      <c r="AD37" s="107"/>
      <c r="AE37" s="107"/>
      <c r="AF37" s="107"/>
      <c r="AG37" s="107"/>
      <c r="AH37" s="107"/>
      <c r="AI37" s="107"/>
      <c r="AJ37" s="107"/>
      <c r="AK37" s="107"/>
      <c r="AL37" s="107"/>
    </row>
    <row r="38" spans="1:38" s="105" customFormat="1" ht="14.25" customHeight="1">
      <c r="A38" s="417"/>
      <c r="B38" s="411" t="s">
        <v>233</v>
      </c>
      <c r="C38" s="435">
        <f t="shared" si="6"/>
        <v>5422.95</v>
      </c>
      <c r="D38" s="425">
        <f t="shared" si="7"/>
        <v>5236.92</v>
      </c>
      <c r="E38" s="425">
        <f t="shared" si="8"/>
        <v>2931.74</v>
      </c>
      <c r="F38" s="425">
        <f t="shared" si="9"/>
        <v>1556.79</v>
      </c>
      <c r="G38" s="425">
        <v>4.41</v>
      </c>
      <c r="H38" s="425">
        <v>115.04</v>
      </c>
      <c r="I38" s="425">
        <v>0.1</v>
      </c>
      <c r="J38" s="425">
        <v>73.44</v>
      </c>
      <c r="K38" s="425">
        <v>1363.8</v>
      </c>
      <c r="L38" s="425">
        <f t="shared" si="4"/>
        <v>1374.9499999999998</v>
      </c>
      <c r="M38" s="425">
        <v>213.91</v>
      </c>
      <c r="N38" s="425">
        <v>744.29</v>
      </c>
      <c r="O38" s="425">
        <v>416.75</v>
      </c>
      <c r="P38" s="425">
        <f t="shared" si="10"/>
        <v>2305.1800000000003</v>
      </c>
      <c r="Q38" s="425">
        <v>31.8</v>
      </c>
      <c r="R38" s="425">
        <v>48.12</v>
      </c>
      <c r="S38" s="425">
        <v>253.15</v>
      </c>
      <c r="T38" s="425">
        <v>490.37</v>
      </c>
      <c r="U38" s="425">
        <v>44.2</v>
      </c>
      <c r="V38" s="425">
        <v>386.05</v>
      </c>
      <c r="W38" s="425">
        <v>703.79</v>
      </c>
      <c r="X38" s="438">
        <v>304.24</v>
      </c>
      <c r="Y38" s="438">
        <v>35.299999999999997</v>
      </c>
      <c r="Z38" s="438">
        <v>8.16</v>
      </c>
      <c r="AA38" s="438">
        <v>186.03</v>
      </c>
      <c r="AB38" s="107"/>
      <c r="AC38" s="107"/>
      <c r="AD38" s="107"/>
      <c r="AE38" s="107"/>
      <c r="AF38" s="107"/>
      <c r="AG38" s="107"/>
      <c r="AH38" s="107"/>
      <c r="AI38" s="107"/>
      <c r="AJ38" s="107"/>
      <c r="AK38" s="107"/>
      <c r="AL38" s="107"/>
    </row>
    <row r="39" spans="1:38" s="105" customFormat="1" ht="14.25" customHeight="1">
      <c r="A39" s="418"/>
      <c r="B39" s="412" t="s">
        <v>234</v>
      </c>
      <c r="C39" s="444">
        <f t="shared" si="6"/>
        <v>5473.51</v>
      </c>
      <c r="D39" s="430">
        <f t="shared" si="7"/>
        <v>5277.09</v>
      </c>
      <c r="E39" s="430">
        <f t="shared" si="8"/>
        <v>2910.13</v>
      </c>
      <c r="F39" s="430">
        <f t="shared" si="9"/>
        <v>1546.1100000000001</v>
      </c>
      <c r="G39" s="430">
        <v>4.22</v>
      </c>
      <c r="H39" s="430">
        <v>117.33</v>
      </c>
      <c r="I39" s="430">
        <v>0.1</v>
      </c>
      <c r="J39" s="430">
        <v>67.540000000000006</v>
      </c>
      <c r="K39" s="430">
        <v>1356.92</v>
      </c>
      <c r="L39" s="430">
        <f t="shared" si="4"/>
        <v>1364.02</v>
      </c>
      <c r="M39" s="430">
        <v>209.2</v>
      </c>
      <c r="N39" s="430">
        <v>736.72</v>
      </c>
      <c r="O39" s="430">
        <v>418.1</v>
      </c>
      <c r="P39" s="430">
        <f t="shared" si="10"/>
        <v>2366.9600000000005</v>
      </c>
      <c r="Q39" s="430">
        <v>23.83</v>
      </c>
      <c r="R39" s="430">
        <v>58.43</v>
      </c>
      <c r="S39" s="430">
        <v>250.4</v>
      </c>
      <c r="T39" s="430">
        <v>572.89</v>
      </c>
      <c r="U39" s="430">
        <v>38.71</v>
      </c>
      <c r="V39" s="430">
        <v>390.46</v>
      </c>
      <c r="W39" s="430">
        <v>708.21</v>
      </c>
      <c r="X39" s="430">
        <v>271.93</v>
      </c>
      <c r="Y39" s="439">
        <v>38.799999999999997</v>
      </c>
      <c r="Z39" s="439">
        <v>13.3</v>
      </c>
      <c r="AA39" s="445">
        <v>196.42</v>
      </c>
      <c r="AB39" s="107"/>
      <c r="AC39" s="107"/>
      <c r="AD39" s="107"/>
      <c r="AE39" s="107"/>
      <c r="AF39" s="107"/>
      <c r="AG39" s="107"/>
      <c r="AH39" s="107"/>
      <c r="AI39" s="107"/>
      <c r="AJ39" s="107"/>
      <c r="AK39" s="107"/>
      <c r="AL39" s="107"/>
    </row>
    <row r="40" spans="1:38" s="105" customFormat="1" ht="15.75" customHeight="1">
      <c r="A40" s="416">
        <v>2019</v>
      </c>
      <c r="B40" s="413" t="s">
        <v>231</v>
      </c>
      <c r="C40" s="446">
        <f t="shared" si="6"/>
        <v>5416</v>
      </c>
      <c r="D40" s="421">
        <f t="shared" si="7"/>
        <v>5199.33</v>
      </c>
      <c r="E40" s="421">
        <f t="shared" si="8"/>
        <v>2895.3</v>
      </c>
      <c r="F40" s="421">
        <f t="shared" si="9"/>
        <v>1526.3700000000001</v>
      </c>
      <c r="G40" s="421">
        <v>2.96</v>
      </c>
      <c r="H40" s="421">
        <v>110.62</v>
      </c>
      <c r="I40" s="421">
        <v>0.11</v>
      </c>
      <c r="J40" s="421">
        <v>61.71</v>
      </c>
      <c r="K40" s="421">
        <v>1350.97</v>
      </c>
      <c r="L40" s="421">
        <f t="shared" si="4"/>
        <v>1368.93</v>
      </c>
      <c r="M40" s="421">
        <v>206.61</v>
      </c>
      <c r="N40" s="421">
        <v>748.33</v>
      </c>
      <c r="O40" s="421">
        <v>413.99</v>
      </c>
      <c r="P40" s="421">
        <f t="shared" si="10"/>
        <v>2304.0300000000002</v>
      </c>
      <c r="Q40" s="421">
        <v>24.49</v>
      </c>
      <c r="R40" s="421">
        <v>47.74</v>
      </c>
      <c r="S40" s="421">
        <v>262.16000000000003</v>
      </c>
      <c r="T40" s="421">
        <v>518.29999999999995</v>
      </c>
      <c r="U40" s="421">
        <v>41.29</v>
      </c>
      <c r="V40" s="421">
        <v>376.79</v>
      </c>
      <c r="W40" s="421">
        <v>739.71</v>
      </c>
      <c r="X40" s="436">
        <v>247.15</v>
      </c>
      <c r="Y40" s="436">
        <v>38.65</v>
      </c>
      <c r="Z40" s="436">
        <v>7.75</v>
      </c>
      <c r="AA40" s="436">
        <v>216.67</v>
      </c>
      <c r="AB40" s="107"/>
      <c r="AC40" s="107"/>
      <c r="AD40" s="107"/>
      <c r="AE40" s="107"/>
      <c r="AF40" s="107"/>
      <c r="AG40" s="107"/>
      <c r="AH40" s="107"/>
      <c r="AI40" s="107"/>
      <c r="AJ40" s="107"/>
      <c r="AK40" s="107"/>
      <c r="AL40" s="107"/>
    </row>
    <row r="41" spans="1:38" s="105" customFormat="1" ht="15.75" customHeight="1">
      <c r="A41" s="417"/>
      <c r="B41" s="411" t="s">
        <v>232</v>
      </c>
      <c r="C41" s="443">
        <f t="shared" si="6"/>
        <v>5499.6</v>
      </c>
      <c r="D41" s="425">
        <f t="shared" si="7"/>
        <v>5277.0700000000006</v>
      </c>
      <c r="E41" s="425">
        <f t="shared" si="8"/>
        <v>2972.8500000000004</v>
      </c>
      <c r="F41" s="425">
        <f t="shared" si="9"/>
        <v>1598.19</v>
      </c>
      <c r="G41" s="425">
        <v>2.97</v>
      </c>
      <c r="H41" s="425">
        <v>115.38</v>
      </c>
      <c r="I41" s="425">
        <v>0.13</v>
      </c>
      <c r="J41" s="425">
        <v>56.82</v>
      </c>
      <c r="K41" s="425">
        <v>1422.89</v>
      </c>
      <c r="L41" s="425">
        <f t="shared" si="4"/>
        <v>1374.66</v>
      </c>
      <c r="M41" s="425">
        <v>203.02</v>
      </c>
      <c r="N41" s="425">
        <v>756.95</v>
      </c>
      <c r="O41" s="425">
        <v>414.69</v>
      </c>
      <c r="P41" s="425">
        <f t="shared" si="10"/>
        <v>2304.2200000000003</v>
      </c>
      <c r="Q41" s="425">
        <v>25.29</v>
      </c>
      <c r="R41" s="425">
        <v>27.26</v>
      </c>
      <c r="S41" s="425">
        <v>276.22000000000003</v>
      </c>
      <c r="T41" s="425">
        <v>491.09</v>
      </c>
      <c r="U41" s="425">
        <v>41.71</v>
      </c>
      <c r="V41" s="425">
        <v>394.37</v>
      </c>
      <c r="W41" s="425">
        <v>770.79</v>
      </c>
      <c r="X41" s="438">
        <v>230.03</v>
      </c>
      <c r="Y41" s="438">
        <v>38.200000000000003</v>
      </c>
      <c r="Z41" s="438">
        <v>9.26</v>
      </c>
      <c r="AA41" s="438">
        <v>222.53</v>
      </c>
      <c r="AB41" s="107"/>
      <c r="AC41" s="107"/>
      <c r="AD41" s="107"/>
      <c r="AE41" s="107"/>
      <c r="AF41" s="107"/>
      <c r="AG41" s="107"/>
      <c r="AH41" s="107"/>
      <c r="AI41" s="107"/>
      <c r="AJ41" s="107"/>
      <c r="AK41" s="107"/>
      <c r="AL41" s="107"/>
    </row>
    <row r="42" spans="1:38" s="105" customFormat="1" ht="15.75" customHeight="1">
      <c r="A42" s="417"/>
      <c r="B42" s="411" t="s">
        <v>233</v>
      </c>
      <c r="C42" s="443">
        <f t="shared" si="6"/>
        <v>5840.3</v>
      </c>
      <c r="D42" s="425">
        <f t="shared" si="7"/>
        <v>5394.16</v>
      </c>
      <c r="E42" s="425">
        <f t="shared" si="8"/>
        <v>3100.43</v>
      </c>
      <c r="F42" s="425">
        <f t="shared" si="9"/>
        <v>1716.4299999999998</v>
      </c>
      <c r="G42" s="425">
        <v>2.96</v>
      </c>
      <c r="H42" s="425">
        <v>114.82</v>
      </c>
      <c r="I42" s="425">
        <v>0.14000000000000001</v>
      </c>
      <c r="J42" s="425">
        <v>52.23</v>
      </c>
      <c r="K42" s="425">
        <v>1546.28</v>
      </c>
      <c r="L42" s="425">
        <f t="shared" si="4"/>
        <v>1384</v>
      </c>
      <c r="M42" s="425">
        <v>197.01</v>
      </c>
      <c r="N42" s="425">
        <v>763.14</v>
      </c>
      <c r="O42" s="425">
        <v>423.85</v>
      </c>
      <c r="P42" s="425">
        <f t="shared" si="10"/>
        <v>2293.7299999999996</v>
      </c>
      <c r="Q42" s="425">
        <v>24.87</v>
      </c>
      <c r="R42" s="425">
        <v>27.85</v>
      </c>
      <c r="S42" s="425">
        <v>303.25</v>
      </c>
      <c r="T42" s="425">
        <v>466.07</v>
      </c>
      <c r="U42" s="425">
        <v>41.52</v>
      </c>
      <c r="V42" s="425">
        <v>385.58</v>
      </c>
      <c r="W42" s="425">
        <v>703.54</v>
      </c>
      <c r="X42" s="425">
        <v>296.43</v>
      </c>
      <c r="Y42" s="425">
        <v>38.21</v>
      </c>
      <c r="Z42" s="425">
        <v>6.41</v>
      </c>
      <c r="AA42" s="425">
        <v>446.14</v>
      </c>
      <c r="AB42" s="107"/>
      <c r="AC42" s="107"/>
      <c r="AD42" s="107"/>
      <c r="AE42" s="107"/>
      <c r="AF42" s="107"/>
      <c r="AG42" s="107"/>
      <c r="AH42" s="107"/>
      <c r="AI42" s="107"/>
      <c r="AJ42" s="107"/>
      <c r="AK42" s="107"/>
      <c r="AL42" s="107"/>
    </row>
    <row r="43" spans="1:38" s="105" customFormat="1" ht="15.75" customHeight="1">
      <c r="A43" s="418"/>
      <c r="B43" s="412" t="s">
        <v>234</v>
      </c>
      <c r="C43" s="444">
        <f t="shared" si="6"/>
        <v>5888.65</v>
      </c>
      <c r="D43" s="430">
        <f t="shared" si="7"/>
        <v>5336.17</v>
      </c>
      <c r="E43" s="430">
        <f t="shared" si="8"/>
        <v>3079.82</v>
      </c>
      <c r="F43" s="430">
        <f t="shared" si="9"/>
        <v>1687.27</v>
      </c>
      <c r="G43" s="430">
        <v>2.73</v>
      </c>
      <c r="H43" s="430">
        <v>118.25</v>
      </c>
      <c r="I43" s="430">
        <v>0.16</v>
      </c>
      <c r="J43" s="430">
        <v>48.94</v>
      </c>
      <c r="K43" s="430">
        <v>1517.19</v>
      </c>
      <c r="L43" s="430">
        <f t="shared" si="4"/>
        <v>1392.5500000000002</v>
      </c>
      <c r="M43" s="430">
        <v>193.21</v>
      </c>
      <c r="N43" s="430">
        <v>774.83</v>
      </c>
      <c r="O43" s="430">
        <v>424.51</v>
      </c>
      <c r="P43" s="430">
        <f t="shared" si="10"/>
        <v>2256.35</v>
      </c>
      <c r="Q43" s="430">
        <v>26</v>
      </c>
      <c r="R43" s="430">
        <v>115.5</v>
      </c>
      <c r="S43" s="430">
        <v>303.92</v>
      </c>
      <c r="T43" s="430">
        <v>424.29</v>
      </c>
      <c r="U43" s="430">
        <v>39.94</v>
      </c>
      <c r="V43" s="430">
        <v>396.7</v>
      </c>
      <c r="W43" s="430">
        <v>698.74</v>
      </c>
      <c r="X43" s="430">
        <v>200.78</v>
      </c>
      <c r="Y43" s="430">
        <v>36.99</v>
      </c>
      <c r="Z43" s="430">
        <v>13.49</v>
      </c>
      <c r="AA43" s="430">
        <v>552.48</v>
      </c>
      <c r="AB43" s="107"/>
      <c r="AC43" s="107"/>
      <c r="AD43" s="107"/>
      <c r="AE43" s="107"/>
      <c r="AF43" s="107"/>
      <c r="AG43" s="107"/>
      <c r="AH43" s="107"/>
      <c r="AI43" s="107"/>
      <c r="AJ43" s="107"/>
      <c r="AK43" s="107"/>
      <c r="AL43" s="107"/>
    </row>
    <row r="44" spans="1:38" s="105" customFormat="1" ht="15.75" customHeight="1">
      <c r="A44" s="416">
        <v>2020</v>
      </c>
      <c r="B44" s="410" t="s">
        <v>231</v>
      </c>
      <c r="C44" s="446">
        <f t="shared" si="6"/>
        <v>6009.8781505818288</v>
      </c>
      <c r="D44" s="421">
        <f t="shared" si="7"/>
        <v>5324.1042071535539</v>
      </c>
      <c r="E44" s="421">
        <f t="shared" si="8"/>
        <v>3033.167348050255</v>
      </c>
      <c r="F44" s="421">
        <f t="shared" si="9"/>
        <v>1628.5450225274913</v>
      </c>
      <c r="G44" s="421">
        <v>2.7016438507855423</v>
      </c>
      <c r="H44" s="421">
        <v>99.892808488687606</v>
      </c>
      <c r="I44" s="421">
        <v>0.17032443999999997</v>
      </c>
      <c r="J44" s="421">
        <v>43.171070430835982</v>
      </c>
      <c r="K44" s="421">
        <v>1482.609175317182</v>
      </c>
      <c r="L44" s="421">
        <f t="shared" si="4"/>
        <v>1404.6223255227637</v>
      </c>
      <c r="M44" s="421">
        <v>191.60718035652613</v>
      </c>
      <c r="N44" s="421">
        <v>791.9548525936259</v>
      </c>
      <c r="O44" s="421">
        <v>421.06029257261184</v>
      </c>
      <c r="P44" s="421">
        <f t="shared" si="10"/>
        <v>2290.9368591032985</v>
      </c>
      <c r="Q44" s="421">
        <v>26.842286110180215</v>
      </c>
      <c r="R44" s="421">
        <v>264.44433666871726</v>
      </c>
      <c r="S44" s="421">
        <v>354.48025288477214</v>
      </c>
      <c r="T44" s="421">
        <v>402.71176493033255</v>
      </c>
      <c r="U44" s="421">
        <v>38.326359841601793</v>
      </c>
      <c r="V44" s="421">
        <v>378.931402453141</v>
      </c>
      <c r="W44" s="421">
        <v>732.57660987092652</v>
      </c>
      <c r="X44" s="421">
        <v>50.188737720027575</v>
      </c>
      <c r="Y44" s="421">
        <v>35.858046143675999</v>
      </c>
      <c r="Z44" s="421">
        <v>6.5770624799240016</v>
      </c>
      <c r="AA44" s="421">
        <v>685.77394342827483</v>
      </c>
      <c r="AB44" s="107"/>
      <c r="AC44" s="107"/>
      <c r="AD44" s="107"/>
      <c r="AE44" s="107"/>
      <c r="AF44" s="107"/>
      <c r="AG44" s="107"/>
      <c r="AH44" s="107"/>
      <c r="AI44" s="107"/>
      <c r="AJ44" s="107"/>
      <c r="AK44" s="107"/>
      <c r="AL44" s="107"/>
    </row>
    <row r="45" spans="1:38" s="105" customFormat="1" ht="15.75" customHeight="1">
      <c r="A45" s="417"/>
      <c r="B45" s="411" t="s">
        <v>232</v>
      </c>
      <c r="C45" s="443">
        <f t="shared" ref="C45:C56" si="11">F45+L45+P45+AA45</f>
        <v>5877.9335978082891</v>
      </c>
      <c r="D45" s="425">
        <f t="shared" ref="D45:D56" si="12">E45+P45</f>
        <v>5233.0660876821967</v>
      </c>
      <c r="E45" s="425">
        <f t="shared" ref="E45:E56" si="13">F45+L45</f>
        <v>2957.3874201997178</v>
      </c>
      <c r="F45" s="425">
        <f t="shared" ref="F45:F56" si="14">G45+H45+I45+J45+K45</f>
        <v>1550.8139783865331</v>
      </c>
      <c r="G45" s="425">
        <v>2.6514797300000001</v>
      </c>
      <c r="H45" s="425">
        <v>95.069887505740681</v>
      </c>
      <c r="I45" s="425">
        <v>0.17986334000000007</v>
      </c>
      <c r="J45" s="425">
        <v>38.96365401794597</v>
      </c>
      <c r="K45" s="425">
        <v>1413.9490937928465</v>
      </c>
      <c r="L45" s="425">
        <f t="shared" si="4"/>
        <v>1406.5734418131849</v>
      </c>
      <c r="M45" s="425">
        <v>189.60918618768429</v>
      </c>
      <c r="N45" s="425">
        <v>799.01734880053505</v>
      </c>
      <c r="O45" s="425">
        <v>417.94690682496554</v>
      </c>
      <c r="P45" s="425">
        <f t="shared" si="10"/>
        <v>2275.6786674824793</v>
      </c>
      <c r="Q45" s="425">
        <v>30.087004262644307</v>
      </c>
      <c r="R45" s="425">
        <v>245.52608153259899</v>
      </c>
      <c r="S45" s="425">
        <v>362.30730736789508</v>
      </c>
      <c r="T45" s="425">
        <v>395.43817034760707</v>
      </c>
      <c r="U45" s="425">
        <v>38.909456008414104</v>
      </c>
      <c r="V45" s="425">
        <v>372.67996968140523</v>
      </c>
      <c r="W45" s="425">
        <v>714.54165471198144</v>
      </c>
      <c r="X45" s="425">
        <v>72.777926888190905</v>
      </c>
      <c r="Y45" s="425">
        <v>36.348616087017007</v>
      </c>
      <c r="Z45" s="425">
        <v>7.0624805947249998</v>
      </c>
      <c r="AA45" s="425">
        <v>644.86751012609193</v>
      </c>
      <c r="AB45" s="107"/>
      <c r="AC45" s="107"/>
      <c r="AD45" s="107"/>
      <c r="AE45" s="107"/>
      <c r="AF45" s="107"/>
      <c r="AG45" s="107"/>
      <c r="AH45" s="107"/>
      <c r="AI45" s="107"/>
      <c r="AJ45" s="107"/>
      <c r="AK45" s="107"/>
      <c r="AL45" s="107"/>
    </row>
    <row r="46" spans="1:38" s="105" customFormat="1" ht="15.75" customHeight="1">
      <c r="A46" s="417"/>
      <c r="B46" s="411" t="s">
        <v>233</v>
      </c>
      <c r="C46" s="435">
        <f t="shared" si="11"/>
        <v>5825.660693600551</v>
      </c>
      <c r="D46" s="425">
        <f t="shared" si="12"/>
        <v>5186.1149494179517</v>
      </c>
      <c r="E46" s="425">
        <f t="shared" si="13"/>
        <v>2849.3304475569166</v>
      </c>
      <c r="F46" s="425">
        <f t="shared" si="14"/>
        <v>1431.6985568558157</v>
      </c>
      <c r="G46" s="425">
        <v>2.5753928400000001</v>
      </c>
      <c r="H46" s="425">
        <v>97.668143027059642</v>
      </c>
      <c r="I46" s="425">
        <v>0.14488248999999997</v>
      </c>
      <c r="J46" s="425">
        <v>35.131544376595002</v>
      </c>
      <c r="K46" s="425">
        <v>1296.178594122161</v>
      </c>
      <c r="L46" s="425">
        <f t="shared" si="4"/>
        <v>1417.6318907011009</v>
      </c>
      <c r="M46" s="425">
        <v>189.04016413641628</v>
      </c>
      <c r="N46" s="425">
        <v>811.7271117968611</v>
      </c>
      <c r="O46" s="425">
        <v>416.86461476782358</v>
      </c>
      <c r="P46" s="425">
        <f t="shared" si="10"/>
        <v>2336.7845018610351</v>
      </c>
      <c r="Q46" s="425">
        <v>32.608915329341094</v>
      </c>
      <c r="R46" s="425">
        <v>234.39365645658648</v>
      </c>
      <c r="S46" s="425">
        <v>478.82073185231718</v>
      </c>
      <c r="T46" s="425">
        <v>330.62925845704297</v>
      </c>
      <c r="U46" s="425">
        <v>40.69606838378747</v>
      </c>
      <c r="V46" s="425">
        <v>343.26602445090532</v>
      </c>
      <c r="W46" s="425">
        <v>753.72363011548407</v>
      </c>
      <c r="X46" s="425">
        <v>82.534890625740786</v>
      </c>
      <c r="Y46" s="425">
        <v>35.072866229599995</v>
      </c>
      <c r="Z46" s="425">
        <v>5.0384599602300009</v>
      </c>
      <c r="AA46" s="425">
        <v>639.54574418259892</v>
      </c>
      <c r="AB46" s="107"/>
      <c r="AC46" s="107"/>
      <c r="AD46" s="107"/>
      <c r="AE46" s="107"/>
      <c r="AF46" s="107"/>
      <c r="AG46" s="107"/>
      <c r="AH46" s="107"/>
      <c r="AI46" s="107"/>
      <c r="AJ46" s="107"/>
      <c r="AK46" s="107"/>
      <c r="AL46" s="107"/>
    </row>
    <row r="47" spans="1:38" s="105" customFormat="1" ht="15.75" customHeight="1">
      <c r="A47" s="418"/>
      <c r="B47" s="412" t="s">
        <v>234</v>
      </c>
      <c r="C47" s="444">
        <f t="shared" si="11"/>
        <v>5824.0887549202462</v>
      </c>
      <c r="D47" s="430">
        <f t="shared" si="12"/>
        <v>5240.1419345779723</v>
      </c>
      <c r="E47" s="430">
        <f t="shared" si="13"/>
        <v>2834.923017134065</v>
      </c>
      <c r="F47" s="430">
        <f t="shared" si="14"/>
        <v>1407.0940137085174</v>
      </c>
      <c r="G47" s="430">
        <v>2.5188136933107734</v>
      </c>
      <c r="H47" s="430">
        <v>100.75389132189554</v>
      </c>
      <c r="I47" s="430">
        <v>0.11449502999999998</v>
      </c>
      <c r="J47" s="430">
        <v>30.222192273429989</v>
      </c>
      <c r="K47" s="430">
        <v>1273.4846213898811</v>
      </c>
      <c r="L47" s="430">
        <f t="shared" si="4"/>
        <v>1427.8290034255474</v>
      </c>
      <c r="M47" s="430">
        <v>188.26354148771239</v>
      </c>
      <c r="N47" s="430">
        <v>825.79637702128468</v>
      </c>
      <c r="O47" s="430">
        <v>413.76908491655041</v>
      </c>
      <c r="P47" s="430">
        <f t="shared" si="10"/>
        <v>2405.2189174439068</v>
      </c>
      <c r="Q47" s="430">
        <v>34.764486665722373</v>
      </c>
      <c r="R47" s="430">
        <v>184.46108887793352</v>
      </c>
      <c r="S47" s="430">
        <v>501.82866550441059</v>
      </c>
      <c r="T47" s="430">
        <v>325.631254116175</v>
      </c>
      <c r="U47" s="430">
        <v>43.701711974315884</v>
      </c>
      <c r="V47" s="430">
        <v>347.35112750385667</v>
      </c>
      <c r="W47" s="430">
        <v>766.67628203090351</v>
      </c>
      <c r="X47" s="430">
        <v>159.46032355798263</v>
      </c>
      <c r="Y47" s="430">
        <v>35.227653842251726</v>
      </c>
      <c r="Z47" s="430">
        <v>6.1163233703549995</v>
      </c>
      <c r="AA47" s="430">
        <v>583.94682034227424</v>
      </c>
      <c r="AB47" s="107"/>
      <c r="AC47" s="107"/>
      <c r="AD47" s="107"/>
      <c r="AE47" s="107"/>
      <c r="AF47" s="107"/>
      <c r="AG47" s="107"/>
      <c r="AH47" s="107"/>
      <c r="AI47" s="107"/>
      <c r="AJ47" s="107"/>
      <c r="AK47" s="107"/>
      <c r="AL47" s="107"/>
    </row>
    <row r="48" spans="1:38" s="105" customFormat="1" ht="15.75" customHeight="1">
      <c r="A48" s="416">
        <v>2021</v>
      </c>
      <c r="B48" s="410" t="s">
        <v>231</v>
      </c>
      <c r="C48" s="419">
        <f t="shared" si="11"/>
        <v>5829.676811620282</v>
      </c>
      <c r="D48" s="421">
        <f t="shared" si="12"/>
        <v>5163.7326077615444</v>
      </c>
      <c r="E48" s="421">
        <f t="shared" si="13"/>
        <v>2818.3772642437852</v>
      </c>
      <c r="F48" s="421">
        <f t="shared" si="14"/>
        <v>1383.6694048979186</v>
      </c>
      <c r="G48" s="421">
        <v>2.4211786893880487</v>
      </c>
      <c r="H48" s="421">
        <v>95.485992811489041</v>
      </c>
      <c r="I48" s="421">
        <v>0.11027431999999998</v>
      </c>
      <c r="J48" s="421">
        <v>26.442597097116035</v>
      </c>
      <c r="K48" s="421">
        <v>1259.2093619799255</v>
      </c>
      <c r="L48" s="421">
        <f t="shared" si="4"/>
        <v>1434.7078593458668</v>
      </c>
      <c r="M48" s="421">
        <v>187.96120958595904</v>
      </c>
      <c r="N48" s="421">
        <v>838.75079051609407</v>
      </c>
      <c r="O48" s="421">
        <v>407.99585924381387</v>
      </c>
      <c r="P48" s="421">
        <f t="shared" si="10"/>
        <v>2345.3553435177591</v>
      </c>
      <c r="Q48" s="421">
        <v>37.866554253429278</v>
      </c>
      <c r="R48" s="421">
        <v>195.31819582252751</v>
      </c>
      <c r="S48" s="421">
        <v>497.6227314294315</v>
      </c>
      <c r="T48" s="421">
        <v>322.73462982586557</v>
      </c>
      <c r="U48" s="421">
        <v>37.56144265247989</v>
      </c>
      <c r="V48" s="421">
        <v>353.78806908582106</v>
      </c>
      <c r="W48" s="421">
        <v>764.04514866928071</v>
      </c>
      <c r="X48" s="421">
        <v>94.193068339327056</v>
      </c>
      <c r="Y48" s="421">
        <v>36.47667940221767</v>
      </c>
      <c r="Z48" s="421">
        <v>5.7488240373789994</v>
      </c>
      <c r="AA48" s="421">
        <v>665.94420385873764</v>
      </c>
      <c r="AB48" s="107"/>
      <c r="AC48" s="107"/>
      <c r="AD48" s="107"/>
      <c r="AE48" s="107"/>
      <c r="AF48" s="107"/>
      <c r="AG48" s="107"/>
      <c r="AH48" s="107"/>
      <c r="AI48" s="107"/>
      <c r="AJ48" s="107"/>
      <c r="AK48" s="107"/>
      <c r="AL48" s="107"/>
    </row>
    <row r="49" spans="1:38" s="105" customFormat="1" ht="15.75" customHeight="1">
      <c r="A49" s="417"/>
      <c r="B49" s="411" t="s">
        <v>232</v>
      </c>
      <c r="C49" s="443">
        <f t="shared" si="11"/>
        <v>5965.6431461884413</v>
      </c>
      <c r="D49" s="425">
        <f t="shared" si="12"/>
        <v>5251.8153471546575</v>
      </c>
      <c r="E49" s="425">
        <f t="shared" si="13"/>
        <v>2825.636524042834</v>
      </c>
      <c r="F49" s="425">
        <f t="shared" si="14"/>
        <v>1380.4660507300375</v>
      </c>
      <c r="G49" s="425">
        <v>2.4595104563894767</v>
      </c>
      <c r="H49" s="425">
        <v>98.378372468157465</v>
      </c>
      <c r="I49" s="425">
        <v>0.10167035999999999</v>
      </c>
      <c r="J49" s="425">
        <v>22.79793772598499</v>
      </c>
      <c r="K49" s="425">
        <v>1256.7285597195055</v>
      </c>
      <c r="L49" s="425">
        <f t="shared" si="4"/>
        <v>1445.1704733127967</v>
      </c>
      <c r="M49" s="425">
        <v>186.52057136962327</v>
      </c>
      <c r="N49" s="425">
        <v>853.16094606863487</v>
      </c>
      <c r="O49" s="425">
        <v>405.48895587453865</v>
      </c>
      <c r="P49" s="425">
        <f t="shared" si="10"/>
        <v>2426.1788231118239</v>
      </c>
      <c r="Q49" s="425">
        <v>45.045113507864151</v>
      </c>
      <c r="R49" s="425">
        <v>4.0439210000040478E-2</v>
      </c>
      <c r="S49" s="425">
        <v>532.38966099666322</v>
      </c>
      <c r="T49" s="425">
        <v>280.28839085433202</v>
      </c>
      <c r="U49" s="425">
        <v>36.214546646771645</v>
      </c>
      <c r="V49" s="425">
        <v>362.84162344350426</v>
      </c>
      <c r="W49" s="425">
        <v>724.24390935978022</v>
      </c>
      <c r="X49" s="425">
        <v>401.40133199187017</v>
      </c>
      <c r="Y49" s="425">
        <v>37.110619571933142</v>
      </c>
      <c r="Z49" s="425">
        <v>6.6031875291050017</v>
      </c>
      <c r="AA49" s="425">
        <v>713.82779903378355</v>
      </c>
      <c r="AB49" s="107"/>
      <c r="AC49" s="107"/>
      <c r="AD49" s="107"/>
      <c r="AE49" s="107"/>
      <c r="AF49" s="107"/>
      <c r="AG49" s="107"/>
      <c r="AH49" s="107"/>
      <c r="AI49" s="107"/>
      <c r="AJ49" s="107"/>
      <c r="AK49" s="107"/>
      <c r="AL49" s="107"/>
    </row>
    <row r="50" spans="1:38" s="105" customFormat="1" ht="15.75" customHeight="1">
      <c r="A50" s="417"/>
      <c r="B50" s="411" t="s">
        <v>233</v>
      </c>
      <c r="C50" s="435">
        <f t="shared" si="11"/>
        <v>5977.1953232511623</v>
      </c>
      <c r="D50" s="425">
        <f t="shared" si="12"/>
        <v>5180.4913159371372</v>
      </c>
      <c r="E50" s="425">
        <f t="shared" si="13"/>
        <v>2798.0810440115802</v>
      </c>
      <c r="F50" s="425">
        <f t="shared" si="14"/>
        <v>1357.0083442092296</v>
      </c>
      <c r="G50" s="425">
        <v>2.5861595405222051</v>
      </c>
      <c r="H50" s="425">
        <v>90.905610206395735</v>
      </c>
      <c r="I50" s="425">
        <v>0.10215904000000001</v>
      </c>
      <c r="J50" s="425">
        <v>19.807543915832014</v>
      </c>
      <c r="K50" s="425">
        <v>1243.6068715064796</v>
      </c>
      <c r="L50" s="425">
        <f t="shared" si="4"/>
        <v>1441.0726998023506</v>
      </c>
      <c r="M50" s="425">
        <v>184.45124472701568</v>
      </c>
      <c r="N50" s="425">
        <v>854.02561604555626</v>
      </c>
      <c r="O50" s="425">
        <v>402.59583902977886</v>
      </c>
      <c r="P50" s="425">
        <f t="shared" si="10"/>
        <v>2382.4102719255575</v>
      </c>
      <c r="Q50" s="425">
        <v>41.880531428918559</v>
      </c>
      <c r="R50" s="425">
        <v>2.700972999999067E-2</v>
      </c>
      <c r="S50" s="425">
        <v>493.10632445553222</v>
      </c>
      <c r="T50" s="425">
        <v>258.44825683432146</v>
      </c>
      <c r="U50" s="425">
        <v>31.353550526812999</v>
      </c>
      <c r="V50" s="425">
        <v>354.3692832745719</v>
      </c>
      <c r="W50" s="425">
        <v>704.68362975564003</v>
      </c>
      <c r="X50" s="425">
        <v>431.02444813768238</v>
      </c>
      <c r="Y50" s="425">
        <v>36.418681973914943</v>
      </c>
      <c r="Z50" s="425">
        <v>31.098555808162999</v>
      </c>
      <c r="AA50" s="425">
        <v>796.70400731402538</v>
      </c>
      <c r="AB50" s="107"/>
      <c r="AC50" s="107"/>
      <c r="AD50" s="107"/>
      <c r="AE50" s="107"/>
      <c r="AF50" s="107"/>
      <c r="AG50" s="107"/>
      <c r="AH50" s="107"/>
      <c r="AI50" s="107"/>
      <c r="AJ50" s="107"/>
      <c r="AK50" s="107"/>
      <c r="AL50" s="107"/>
    </row>
    <row r="51" spans="1:38" s="105" customFormat="1" ht="15.75" customHeight="1">
      <c r="A51" s="418"/>
      <c r="B51" s="412" t="s">
        <v>234</v>
      </c>
      <c r="C51" s="444">
        <f t="shared" si="11"/>
        <v>6090.4262024577229</v>
      </c>
      <c r="D51" s="430">
        <f t="shared" si="12"/>
        <v>5321.7716152975081</v>
      </c>
      <c r="E51" s="430">
        <f t="shared" si="13"/>
        <v>2774.8645072136096</v>
      </c>
      <c r="F51" s="430">
        <f t="shared" si="14"/>
        <v>1328.5748458243331</v>
      </c>
      <c r="G51" s="430">
        <v>2.6225920899894195</v>
      </c>
      <c r="H51" s="430">
        <v>94.336626532138339</v>
      </c>
      <c r="I51" s="430">
        <v>8.871989000000001E-2</v>
      </c>
      <c r="J51" s="430">
        <v>16.430692377007013</v>
      </c>
      <c r="K51" s="430">
        <v>1215.0962149351983</v>
      </c>
      <c r="L51" s="430">
        <f t="shared" si="4"/>
        <v>1446.2896613892767</v>
      </c>
      <c r="M51" s="430">
        <v>184.52216114013558</v>
      </c>
      <c r="N51" s="430">
        <v>867.28931544748855</v>
      </c>
      <c r="O51" s="430">
        <v>394.47818480165256</v>
      </c>
      <c r="P51" s="430">
        <f t="shared" si="10"/>
        <v>2546.9071080838985</v>
      </c>
      <c r="Q51" s="430">
        <v>40.020247214017708</v>
      </c>
      <c r="R51" s="430">
        <v>6.8051380000018979E-2</v>
      </c>
      <c r="S51" s="430">
        <v>658.41830411088233</v>
      </c>
      <c r="T51" s="430">
        <v>235.85109252216301</v>
      </c>
      <c r="U51" s="430">
        <v>30.739558102737345</v>
      </c>
      <c r="V51" s="430">
        <v>353.77696702966716</v>
      </c>
      <c r="W51" s="430">
        <v>685.96280332685342</v>
      </c>
      <c r="X51" s="430">
        <v>473.14089863000089</v>
      </c>
      <c r="Y51" s="430">
        <v>37.783695508111499</v>
      </c>
      <c r="Z51" s="430">
        <v>31.145490259465006</v>
      </c>
      <c r="AA51" s="430">
        <v>768.65458716021453</v>
      </c>
      <c r="AB51" s="107"/>
      <c r="AC51" s="107"/>
      <c r="AD51" s="107"/>
      <c r="AE51" s="107"/>
      <c r="AF51" s="107"/>
      <c r="AG51" s="107"/>
      <c r="AH51" s="107"/>
      <c r="AI51" s="107"/>
      <c r="AJ51" s="107"/>
      <c r="AK51" s="107"/>
      <c r="AL51" s="107"/>
    </row>
    <row r="52" spans="1:38" s="105" customFormat="1" ht="15.75" customHeight="1">
      <c r="A52" s="416">
        <v>2022</v>
      </c>
      <c r="B52" s="410" t="s">
        <v>231</v>
      </c>
      <c r="C52" s="419">
        <f t="shared" si="11"/>
        <v>6199.3683714685012</v>
      </c>
      <c r="D52" s="421">
        <f t="shared" si="12"/>
        <v>5372.7985397784387</v>
      </c>
      <c r="E52" s="421">
        <f t="shared" si="13"/>
        <v>2773.3276925014861</v>
      </c>
      <c r="F52" s="421">
        <f t="shared" si="14"/>
        <v>1324.2671610019634</v>
      </c>
      <c r="G52" s="421">
        <v>3.2002853902939328</v>
      </c>
      <c r="H52" s="421">
        <v>91.967595738172264</v>
      </c>
      <c r="I52" s="421">
        <v>9.1319249999999991E-2</v>
      </c>
      <c r="J52" s="421">
        <v>13.479127704838996</v>
      </c>
      <c r="K52" s="421">
        <v>1215.5288329186581</v>
      </c>
      <c r="L52" s="421">
        <f t="shared" si="4"/>
        <v>1449.060531499523</v>
      </c>
      <c r="M52" s="421">
        <v>184.82456215204095</v>
      </c>
      <c r="N52" s="421">
        <v>877.92111902504598</v>
      </c>
      <c r="O52" s="421">
        <v>386.31485032243609</v>
      </c>
      <c r="P52" s="421">
        <f t="shared" si="10"/>
        <v>2599.4708472769526</v>
      </c>
      <c r="Q52" s="421">
        <v>32.677177447312594</v>
      </c>
      <c r="R52" s="421">
        <v>5.0857979999971575E-2</v>
      </c>
      <c r="S52" s="421">
        <v>727.73746277444764</v>
      </c>
      <c r="T52" s="421">
        <v>256.60571836056948</v>
      </c>
      <c r="U52" s="421">
        <v>29.062022794082999</v>
      </c>
      <c r="V52" s="421">
        <v>350.43747657632463</v>
      </c>
      <c r="W52" s="421">
        <v>670.2562787841506</v>
      </c>
      <c r="X52" s="421">
        <v>469.40688152071203</v>
      </c>
      <c r="Y52" s="421">
        <v>36.847325517637003</v>
      </c>
      <c r="Z52" s="421">
        <v>26.389645521716005</v>
      </c>
      <c r="AA52" s="421">
        <v>826.5698316900623</v>
      </c>
      <c r="AB52" s="107"/>
      <c r="AC52" s="107"/>
      <c r="AD52" s="107"/>
      <c r="AE52" s="107"/>
      <c r="AF52" s="107"/>
      <c r="AG52" s="107"/>
      <c r="AH52" s="107"/>
      <c r="AI52" s="107"/>
      <c r="AJ52" s="107"/>
      <c r="AK52" s="107"/>
      <c r="AL52" s="107"/>
    </row>
    <row r="53" spans="1:38" s="105" customFormat="1" ht="15.75" customHeight="1">
      <c r="A53" s="417"/>
      <c r="B53" s="411" t="s">
        <v>232</v>
      </c>
      <c r="C53" s="435">
        <f t="shared" si="11"/>
        <v>6277.7555320279307</v>
      </c>
      <c r="D53" s="425">
        <f t="shared" si="12"/>
        <v>5490.1615282529237</v>
      </c>
      <c r="E53" s="425">
        <f t="shared" si="13"/>
        <v>2782.313991581927</v>
      </c>
      <c r="F53" s="425">
        <f t="shared" si="14"/>
        <v>1322.8901409310745</v>
      </c>
      <c r="G53" s="425">
        <v>3.5927591131321317</v>
      </c>
      <c r="H53" s="425">
        <v>98.383222223358686</v>
      </c>
      <c r="I53" s="425">
        <v>9.9076480000000008E-2</v>
      </c>
      <c r="J53" s="425">
        <v>10.652785381715011</v>
      </c>
      <c r="K53" s="425">
        <v>1210.1622977328686</v>
      </c>
      <c r="L53" s="425">
        <f t="shared" si="4"/>
        <v>1459.4238506508525</v>
      </c>
      <c r="M53" s="425">
        <v>184.42922402372193</v>
      </c>
      <c r="N53" s="425">
        <v>895.56833416044367</v>
      </c>
      <c r="O53" s="425">
        <v>379.4262924666869</v>
      </c>
      <c r="P53" s="425">
        <f t="shared" si="10"/>
        <v>2707.8475366709963</v>
      </c>
      <c r="Q53" s="425">
        <v>35.546437615765498</v>
      </c>
      <c r="R53" s="425">
        <v>6.9608580004947726E-2</v>
      </c>
      <c r="S53" s="425">
        <v>834.74717809146807</v>
      </c>
      <c r="T53" s="425">
        <v>236.20966365532348</v>
      </c>
      <c r="U53" s="425">
        <v>36.503718553797</v>
      </c>
      <c r="V53" s="425">
        <v>358.98213399624404</v>
      </c>
      <c r="W53" s="425">
        <v>665.9692950142304</v>
      </c>
      <c r="X53" s="425">
        <v>475.28014564459511</v>
      </c>
      <c r="Y53" s="425">
        <v>35.1956998235</v>
      </c>
      <c r="Z53" s="425">
        <v>29.343655696067994</v>
      </c>
      <c r="AA53" s="425">
        <v>787.5940037750072</v>
      </c>
      <c r="AB53" s="107"/>
      <c r="AC53" s="107"/>
      <c r="AD53" s="107"/>
      <c r="AE53" s="107"/>
      <c r="AF53" s="107"/>
      <c r="AG53" s="107"/>
      <c r="AH53" s="107"/>
      <c r="AI53" s="107"/>
      <c r="AJ53" s="107"/>
      <c r="AK53" s="107"/>
      <c r="AL53" s="107"/>
    </row>
    <row r="54" spans="1:38" s="105" customFormat="1" ht="15.75" customHeight="1">
      <c r="A54" s="417"/>
      <c r="B54" s="411" t="s">
        <v>233</v>
      </c>
      <c r="C54" s="435">
        <f t="shared" si="11"/>
        <v>6459.2450440468165</v>
      </c>
      <c r="D54" s="425">
        <f t="shared" si="12"/>
        <v>5620.4849691932668</v>
      </c>
      <c r="E54" s="425">
        <f t="shared" si="13"/>
        <v>2798.441209036474</v>
      </c>
      <c r="F54" s="425">
        <f t="shared" si="14"/>
        <v>1332.7536179691697</v>
      </c>
      <c r="G54" s="425">
        <v>4.2289647354438484</v>
      </c>
      <c r="H54" s="425">
        <v>101.75530041967647</v>
      </c>
      <c r="I54" s="425">
        <v>8.1000000000000003E-2</v>
      </c>
      <c r="J54" s="425">
        <v>8.3064044281559983</v>
      </c>
      <c r="K54" s="425">
        <v>1218.3819483858933</v>
      </c>
      <c r="L54" s="425">
        <f t="shared" si="4"/>
        <v>1465.6875910673043</v>
      </c>
      <c r="M54" s="425">
        <v>181.71920754423283</v>
      </c>
      <c r="N54" s="425">
        <v>916.07738499459447</v>
      </c>
      <c r="O54" s="425">
        <v>367.89099852847687</v>
      </c>
      <c r="P54" s="425">
        <f t="shared" si="10"/>
        <v>2822.0437601567924</v>
      </c>
      <c r="Q54" s="425">
        <v>33.370711577639895</v>
      </c>
      <c r="R54" s="425">
        <v>7.320285999996122E-2</v>
      </c>
      <c r="S54" s="425">
        <v>974.830158544097</v>
      </c>
      <c r="T54" s="425">
        <v>215.16964941413801</v>
      </c>
      <c r="U54" s="425">
        <v>38.924763247160996</v>
      </c>
      <c r="V54" s="425">
        <v>363.7806804561431</v>
      </c>
      <c r="W54" s="425">
        <v>674.7863503078255</v>
      </c>
      <c r="X54" s="425">
        <v>456.94408667924336</v>
      </c>
      <c r="Y54" s="425">
        <v>34.977295985445998</v>
      </c>
      <c r="Z54" s="425">
        <v>29.186861085099</v>
      </c>
      <c r="AA54" s="425">
        <v>838.76007485355012</v>
      </c>
      <c r="AB54" s="107"/>
      <c r="AC54" s="107"/>
      <c r="AD54" s="107"/>
      <c r="AE54" s="107"/>
      <c r="AF54" s="107"/>
      <c r="AG54" s="107"/>
      <c r="AH54" s="107"/>
      <c r="AI54" s="107"/>
      <c r="AJ54" s="107"/>
      <c r="AK54" s="107"/>
      <c r="AL54" s="107"/>
    </row>
    <row r="55" spans="1:38" s="105" customFormat="1" ht="15.75" customHeight="1">
      <c r="A55" s="418"/>
      <c r="B55" s="412" t="s">
        <v>234</v>
      </c>
      <c r="C55" s="434">
        <f t="shared" si="11"/>
        <v>6379.6873213425788</v>
      </c>
      <c r="D55" s="430">
        <f t="shared" si="12"/>
        <v>5582.3575183843914</v>
      </c>
      <c r="E55" s="430">
        <f t="shared" si="13"/>
        <v>2811.4973259814628</v>
      </c>
      <c r="F55" s="430">
        <f t="shared" si="14"/>
        <v>1344.1656856187074</v>
      </c>
      <c r="G55" s="430">
        <v>4.9043958399995677</v>
      </c>
      <c r="H55" s="430">
        <v>108.22440998488207</v>
      </c>
      <c r="I55" s="430">
        <v>9.6000000000000002E-2</v>
      </c>
      <c r="J55" s="430">
        <v>6.2057067581439957</v>
      </c>
      <c r="K55" s="430">
        <v>1224.7351730356818</v>
      </c>
      <c r="L55" s="430">
        <f t="shared" si="4"/>
        <v>1467.3316403627555</v>
      </c>
      <c r="M55" s="430">
        <v>180.35536585247246</v>
      </c>
      <c r="N55" s="430">
        <v>926.25719085003641</v>
      </c>
      <c r="O55" s="430">
        <v>360.71908366024667</v>
      </c>
      <c r="P55" s="430">
        <f t="shared" si="10"/>
        <v>2770.860192402929</v>
      </c>
      <c r="Q55" s="430">
        <v>34.361753510883268</v>
      </c>
      <c r="R55" s="430">
        <v>5.6172509999945761E-2</v>
      </c>
      <c r="S55" s="430">
        <v>991.75932939731092</v>
      </c>
      <c r="T55" s="430">
        <v>189.650079775807</v>
      </c>
      <c r="U55" s="430">
        <v>38.781741923897989</v>
      </c>
      <c r="V55" s="430">
        <v>358.89454459921268</v>
      </c>
      <c r="W55" s="430">
        <v>641.4537050327516</v>
      </c>
      <c r="X55" s="430">
        <v>449.3062396540098</v>
      </c>
      <c r="Y55" s="430">
        <v>35.792518622044994</v>
      </c>
      <c r="Z55" s="430">
        <v>30.804107377011</v>
      </c>
      <c r="AA55" s="430">
        <v>797.3298029581872</v>
      </c>
      <c r="AB55" s="107"/>
      <c r="AC55" s="107"/>
      <c r="AD55" s="107"/>
      <c r="AE55" s="107"/>
      <c r="AF55" s="107"/>
      <c r="AG55" s="107"/>
      <c r="AH55" s="107"/>
      <c r="AI55" s="107"/>
      <c r="AJ55" s="107"/>
      <c r="AK55" s="107"/>
      <c r="AL55" s="107"/>
    </row>
    <row r="56" spans="1:38" s="105" customFormat="1" ht="15.75" customHeight="1">
      <c r="A56" s="416">
        <v>2023</v>
      </c>
      <c r="B56" s="410" t="s">
        <v>231</v>
      </c>
      <c r="C56" s="419">
        <f t="shared" si="11"/>
        <v>6319.5980946808631</v>
      </c>
      <c r="D56" s="421">
        <f t="shared" si="12"/>
        <v>5467.8000828739932</v>
      </c>
      <c r="E56" s="421">
        <f t="shared" si="13"/>
        <v>2827.5933088724137</v>
      </c>
      <c r="F56" s="421">
        <f t="shared" si="14"/>
        <v>1348.651690869636</v>
      </c>
      <c r="G56" s="421">
        <v>5.4751166880526174</v>
      </c>
      <c r="H56" s="421">
        <v>102.23689713861584</v>
      </c>
      <c r="I56" s="421">
        <v>9.0999999999999998E-2</v>
      </c>
      <c r="J56" s="421">
        <v>4.7268617174880001</v>
      </c>
      <c r="K56" s="421">
        <v>1236.1218153254795</v>
      </c>
      <c r="L56" s="421">
        <f t="shared" si="4"/>
        <v>1478.9416180027777</v>
      </c>
      <c r="M56" s="421">
        <v>180.94450100373635</v>
      </c>
      <c r="N56" s="421">
        <v>945.10226208612062</v>
      </c>
      <c r="O56" s="421">
        <v>352.89485491292072</v>
      </c>
      <c r="P56" s="421">
        <f t="shared" si="10"/>
        <v>2640.20677400158</v>
      </c>
      <c r="Q56" s="421">
        <v>30.860792287151529</v>
      </c>
      <c r="R56" s="421">
        <v>8.4074990000051905E-2</v>
      </c>
      <c r="S56" s="421">
        <v>813.96888075353479</v>
      </c>
      <c r="T56" s="421">
        <v>152.4195087177475</v>
      </c>
      <c r="U56" s="421">
        <v>53.684661048727719</v>
      </c>
      <c r="V56" s="421">
        <v>364.40754540038824</v>
      </c>
      <c r="W56" s="421">
        <v>735.38308088671533</v>
      </c>
      <c r="X56" s="421">
        <v>429.02906849371794</v>
      </c>
      <c r="Y56" s="421">
        <v>34.439948961825003</v>
      </c>
      <c r="Z56" s="421">
        <v>25.929212461772003</v>
      </c>
      <c r="AA56" s="421">
        <v>851.79801180687002</v>
      </c>
      <c r="AB56" s="107"/>
      <c r="AC56" s="107"/>
      <c r="AD56" s="107"/>
      <c r="AE56" s="107"/>
      <c r="AF56" s="107"/>
      <c r="AG56" s="107"/>
      <c r="AH56" s="107"/>
      <c r="AI56" s="107"/>
      <c r="AJ56" s="107"/>
      <c r="AK56" s="107"/>
      <c r="AL56" s="107"/>
    </row>
    <row r="57" spans="1:38" s="105" customFormat="1" ht="15.75" customHeight="1">
      <c r="A57" s="417"/>
      <c r="B57" s="411" t="s">
        <v>232</v>
      </c>
      <c r="C57" s="435">
        <f t="shared" ref="C57" si="15">F57+L57+P57+AA57</f>
        <v>6641.5259967641468</v>
      </c>
      <c r="D57" s="425">
        <f t="shared" ref="D57" si="16">E57+P57</f>
        <v>5653.0180271540175</v>
      </c>
      <c r="E57" s="425">
        <f t="shared" ref="E57" si="17">F57+L57</f>
        <v>2846.466485085889</v>
      </c>
      <c r="F57" s="425">
        <f t="shared" ref="F57" si="18">G57+H57+I57+J57+K57</f>
        <v>1359.2667696317435</v>
      </c>
      <c r="G57" s="425">
        <v>6.5622749367784383</v>
      </c>
      <c r="H57" s="425">
        <v>104.98685442383689</v>
      </c>
      <c r="I57" s="425">
        <v>0.10299999999999999</v>
      </c>
      <c r="J57" s="425">
        <v>3.8441929179319998</v>
      </c>
      <c r="K57" s="425">
        <v>1243.7704473531962</v>
      </c>
      <c r="L57" s="425">
        <f t="shared" si="4"/>
        <v>1487.1997154541455</v>
      </c>
      <c r="M57" s="425">
        <v>178.47861666137069</v>
      </c>
      <c r="N57" s="425">
        <v>964.40311451002628</v>
      </c>
      <c r="O57" s="425">
        <v>344.31798428274857</v>
      </c>
      <c r="P57" s="425">
        <f t="shared" si="10"/>
        <v>2806.551542068129</v>
      </c>
      <c r="Q57" s="425">
        <v>32.197711239203471</v>
      </c>
      <c r="R57" s="425">
        <v>0.1441701700000558</v>
      </c>
      <c r="S57" s="425">
        <v>961.07014868993588</v>
      </c>
      <c r="T57" s="425">
        <v>132.97122621057795</v>
      </c>
      <c r="U57" s="425">
        <v>58.314772814753248</v>
      </c>
      <c r="V57" s="425">
        <v>363.54579030204951</v>
      </c>
      <c r="W57" s="425">
        <v>754.74718449847376</v>
      </c>
      <c r="X57" s="425">
        <v>439.85354593078</v>
      </c>
      <c r="Y57" s="425">
        <v>34.401922308882</v>
      </c>
      <c r="Z57" s="425">
        <v>29.305069903472997</v>
      </c>
      <c r="AA57" s="425">
        <v>988.50796961012918</v>
      </c>
      <c r="AB57" s="107"/>
      <c r="AC57" s="107"/>
      <c r="AD57" s="107"/>
      <c r="AE57" s="107"/>
      <c r="AF57" s="107"/>
      <c r="AG57" s="107"/>
      <c r="AH57" s="107"/>
      <c r="AI57" s="107"/>
      <c r="AJ57" s="107"/>
      <c r="AK57" s="107"/>
      <c r="AL57" s="107"/>
    </row>
    <row r="58" spans="1:38" s="105" customFormat="1" ht="15.75" customHeight="1">
      <c r="A58" s="417"/>
      <c r="B58" s="411" t="s">
        <v>233</v>
      </c>
      <c r="C58" s="435">
        <f t="shared" ref="C58" si="19">F58+L58+P58+AA58</f>
        <v>6862.4961483217185</v>
      </c>
      <c r="D58" s="425">
        <f t="shared" ref="D58" si="20">E58+P58</f>
        <v>5841.775559316724</v>
      </c>
      <c r="E58" s="425">
        <f t="shared" ref="E58" si="21">F58+L58</f>
        <v>2895.7521004112086</v>
      </c>
      <c r="F58" s="425">
        <f t="shared" ref="F58" si="22">G58+H58+I58+J58+K58</f>
        <v>1389.7120753562981</v>
      </c>
      <c r="G58" s="425">
        <v>7.240453239545924</v>
      </c>
      <c r="H58" s="425">
        <v>105.60838510146353</v>
      </c>
      <c r="I58" s="425">
        <v>8.5999999999999993E-2</v>
      </c>
      <c r="J58" s="425">
        <v>3.3395358495449994</v>
      </c>
      <c r="K58" s="425">
        <v>1273.4377011657436</v>
      </c>
      <c r="L58" s="425">
        <f t="shared" si="4"/>
        <v>1506.0400250549103</v>
      </c>
      <c r="M58" s="425">
        <v>177.99087586407069</v>
      </c>
      <c r="N58" s="425">
        <v>991.53753377651378</v>
      </c>
      <c r="O58" s="425">
        <v>336.51161541432583</v>
      </c>
      <c r="P58" s="425">
        <f t="shared" si="10"/>
        <v>2946.0234589055149</v>
      </c>
      <c r="Q58" s="425">
        <v>29.722208285338954</v>
      </c>
      <c r="R58" s="425">
        <v>0.12199300999997649</v>
      </c>
      <c r="S58" s="425">
        <v>1044.4657292480281</v>
      </c>
      <c r="T58" s="425">
        <v>93.642905653288494</v>
      </c>
      <c r="U58" s="425">
        <v>57.690297971576129</v>
      </c>
      <c r="V58" s="425">
        <v>350.25594713662434</v>
      </c>
      <c r="W58" s="425">
        <v>875.72088042199391</v>
      </c>
      <c r="X58" s="425">
        <v>430.80001834977486</v>
      </c>
      <c r="Y58" s="425">
        <v>33.253929104946003</v>
      </c>
      <c r="Z58" s="425">
        <v>30.349549723944008</v>
      </c>
      <c r="AA58" s="425">
        <v>1020.7205890049942</v>
      </c>
      <c r="AB58" s="107"/>
      <c r="AC58" s="107"/>
      <c r="AD58" s="107"/>
      <c r="AE58" s="107"/>
      <c r="AF58" s="107"/>
      <c r="AG58" s="107"/>
      <c r="AH58" s="107"/>
      <c r="AI58" s="107"/>
      <c r="AJ58" s="107"/>
      <c r="AK58" s="107"/>
      <c r="AL58" s="107"/>
    </row>
    <row r="59" spans="1:38" s="105" customFormat="1" ht="15.75" customHeight="1">
      <c r="A59" s="418"/>
      <c r="B59" s="412" t="s">
        <v>234</v>
      </c>
      <c r="C59" s="434">
        <f t="shared" ref="C59" si="23">F59+L59+P59+AA59</f>
        <v>7102.6909397501222</v>
      </c>
      <c r="D59" s="430">
        <f t="shared" ref="D59" si="24">E59+P59</f>
        <v>5795.804209807533</v>
      </c>
      <c r="E59" s="430">
        <f t="shared" ref="E59" si="25">F59+L59</f>
        <v>2927.067387817347</v>
      </c>
      <c r="F59" s="430">
        <f t="shared" ref="F59" si="26">G59+H59+I59+J59+K59</f>
        <v>1405.7025729963434</v>
      </c>
      <c r="G59" s="430">
        <v>8.4327734127473146</v>
      </c>
      <c r="H59" s="430">
        <v>113.64336723606543</v>
      </c>
      <c r="I59" s="430">
        <v>6.7000000000000004E-2</v>
      </c>
      <c r="J59" s="430">
        <v>3.1313685286730002</v>
      </c>
      <c r="K59" s="430">
        <v>1280.4280638188577</v>
      </c>
      <c r="L59" s="430">
        <f t="shared" si="4"/>
        <v>1521.3648148210036</v>
      </c>
      <c r="M59" s="430">
        <v>178.44484450691905</v>
      </c>
      <c r="N59" s="430">
        <v>1012.7517684612189</v>
      </c>
      <c r="O59" s="430">
        <v>330.16820185286565</v>
      </c>
      <c r="P59" s="430">
        <f t="shared" si="10"/>
        <v>2868.7368219901859</v>
      </c>
      <c r="Q59" s="430">
        <v>26.976074084557833</v>
      </c>
      <c r="R59" s="430">
        <v>0.12037664000003133</v>
      </c>
      <c r="S59" s="430">
        <v>964.92148444247846</v>
      </c>
      <c r="T59" s="430">
        <v>71.881615069305994</v>
      </c>
      <c r="U59" s="430">
        <v>57.047938489281165</v>
      </c>
      <c r="V59" s="430">
        <v>355.49911655623379</v>
      </c>
      <c r="W59" s="430">
        <v>898.1751561821377</v>
      </c>
      <c r="X59" s="430">
        <v>426.90100407694092</v>
      </c>
      <c r="Y59" s="430">
        <v>32.278735838312997</v>
      </c>
      <c r="Z59" s="430">
        <v>34.935320610936998</v>
      </c>
      <c r="AA59" s="430">
        <v>1306.8867299425895</v>
      </c>
      <c r="AB59" s="107"/>
      <c r="AC59" s="107"/>
      <c r="AD59" s="107"/>
      <c r="AE59" s="107"/>
      <c r="AF59" s="107"/>
      <c r="AG59" s="107"/>
      <c r="AH59" s="107"/>
      <c r="AI59" s="107"/>
      <c r="AJ59" s="107"/>
      <c r="AK59" s="107"/>
      <c r="AL59" s="107"/>
    </row>
    <row r="60" spans="1:38" s="105" customFormat="1" ht="15.75" customHeight="1">
      <c r="A60" s="416">
        <v>2024</v>
      </c>
      <c r="B60" s="410" t="s">
        <v>231</v>
      </c>
      <c r="C60" s="419">
        <f t="shared" ref="C60" si="27">F60+L60+P60+AA60</f>
        <v>7202.1970430483834</v>
      </c>
      <c r="D60" s="421">
        <f t="shared" ref="D60" si="28">E60+P60</f>
        <v>5686.3290214918998</v>
      </c>
      <c r="E60" s="421">
        <f t="shared" ref="E60" si="29">F60+L60</f>
        <v>2924.8986296081989</v>
      </c>
      <c r="F60" s="421">
        <f t="shared" ref="F60" si="30">G60+H60+I60+J60+K60</f>
        <v>1394.084166410456</v>
      </c>
      <c r="G60" s="421">
        <v>9.0671971320672906</v>
      </c>
      <c r="H60" s="421">
        <v>106.69385585191259</v>
      </c>
      <c r="I60" s="421">
        <v>7.0999999999999994E-2</v>
      </c>
      <c r="J60" s="421">
        <v>2.9543371212839995</v>
      </c>
      <c r="K60" s="421">
        <v>1275.297776305192</v>
      </c>
      <c r="L60" s="421">
        <f t="shared" si="4"/>
        <v>1530.814463197743</v>
      </c>
      <c r="M60" s="421">
        <v>178.575060706496</v>
      </c>
      <c r="N60" s="421">
        <v>1027.7628411705532</v>
      </c>
      <c r="O60" s="421">
        <v>324.4765613206938</v>
      </c>
      <c r="P60" s="421">
        <f t="shared" si="10"/>
        <v>2761.4303918837008</v>
      </c>
      <c r="Q60" s="421">
        <v>27.837180004305285</v>
      </c>
      <c r="R60" s="421">
        <v>0.17649676999991062</v>
      </c>
      <c r="S60" s="421">
        <v>893.91971462056915</v>
      </c>
      <c r="T60" s="421">
        <v>50.552167015764006</v>
      </c>
      <c r="U60" s="421">
        <v>57.475357032602361</v>
      </c>
      <c r="V60" s="421">
        <v>351.52066504658882</v>
      </c>
      <c r="W60" s="421">
        <v>906.20955127729712</v>
      </c>
      <c r="X60" s="421">
        <v>410.71403825076567</v>
      </c>
      <c r="Y60" s="421">
        <v>31.334901627100997</v>
      </c>
      <c r="Z60" s="421">
        <v>31.690320238708001</v>
      </c>
      <c r="AA60" s="421">
        <v>1515.8680215564832</v>
      </c>
      <c r="AB60" s="107"/>
      <c r="AC60" s="107"/>
      <c r="AD60" s="107"/>
      <c r="AE60" s="107"/>
      <c r="AF60" s="107"/>
      <c r="AG60" s="107"/>
      <c r="AH60" s="107"/>
      <c r="AI60" s="107"/>
      <c r="AJ60" s="107"/>
      <c r="AK60" s="107"/>
      <c r="AL60" s="107"/>
    </row>
    <row r="61" spans="1:38" s="105" customFormat="1" ht="15.75" customHeight="1">
      <c r="A61" s="417"/>
      <c r="B61" s="411" t="s">
        <v>232</v>
      </c>
      <c r="C61" s="435">
        <f t="shared" ref="C61" si="31">F61+L61+P61+AA61</f>
        <v>7454.1057454401907</v>
      </c>
      <c r="D61" s="425">
        <f t="shared" ref="D61" si="32">E61+P61</f>
        <v>5892.9906330610629</v>
      </c>
      <c r="E61" s="425">
        <f t="shared" ref="E61" si="33">F61+L61</f>
        <v>2970.575129387254</v>
      </c>
      <c r="F61" s="425">
        <f t="shared" ref="F61" si="34">G61+H61+I61+J61+K61</f>
        <v>1424.9026307694508</v>
      </c>
      <c r="G61" s="425">
        <v>9.6378592176914974</v>
      </c>
      <c r="H61" s="425">
        <v>110.690154533002</v>
      </c>
      <c r="I61" s="425">
        <v>7.2999999999999995E-2</v>
      </c>
      <c r="J61" s="425">
        <v>2.7252446462829996</v>
      </c>
      <c r="K61" s="425">
        <v>1301.7763723724743</v>
      </c>
      <c r="L61" s="425">
        <f t="shared" si="4"/>
        <v>1545.6724986178033</v>
      </c>
      <c r="M61" s="425">
        <v>177.54826500228501</v>
      </c>
      <c r="N61" s="425">
        <v>1047.7437976347314</v>
      </c>
      <c r="O61" s="425">
        <v>320.38043598078679</v>
      </c>
      <c r="P61" s="425">
        <f t="shared" si="10"/>
        <v>2922.4155036738084</v>
      </c>
      <c r="Q61" s="425">
        <v>26.633496300344138</v>
      </c>
      <c r="R61" s="425">
        <v>0.16699071999994339</v>
      </c>
      <c r="S61" s="425">
        <v>976.55294927660611</v>
      </c>
      <c r="T61" s="425">
        <v>29.458278746497999</v>
      </c>
      <c r="U61" s="425">
        <v>82.452667923413443</v>
      </c>
      <c r="V61" s="425">
        <v>343.79309688267023</v>
      </c>
      <c r="W61" s="425">
        <v>971.10817564926242</v>
      </c>
      <c r="X61" s="425">
        <v>426.05195108068023</v>
      </c>
      <c r="Y61" s="425">
        <v>29.752623910899999</v>
      </c>
      <c r="Z61" s="425">
        <v>36.445273183433997</v>
      </c>
      <c r="AA61" s="425">
        <v>1561.115112379128</v>
      </c>
      <c r="AB61" s="107"/>
      <c r="AC61" s="107"/>
      <c r="AD61" s="107"/>
      <c r="AE61" s="107"/>
      <c r="AF61" s="107"/>
      <c r="AG61" s="107"/>
      <c r="AH61" s="107"/>
      <c r="AI61" s="107"/>
      <c r="AJ61" s="107"/>
      <c r="AK61" s="107"/>
      <c r="AL61" s="107"/>
    </row>
    <row r="62" spans="1:38" s="105" customFormat="1" ht="15.75" customHeight="1">
      <c r="A62" s="417"/>
      <c r="B62" s="411" t="s">
        <v>233</v>
      </c>
      <c r="C62" s="435">
        <f t="shared" ref="C62" si="35">F62+L62+P62+AA62</f>
        <v>7443.3498710150407</v>
      </c>
      <c r="D62" s="425">
        <f t="shared" ref="D62" si="36">E62+P62</f>
        <v>5814.8588616744855</v>
      </c>
      <c r="E62" s="425">
        <f t="shared" ref="E62" si="37">F62+L62</f>
        <v>3010.8329087055454</v>
      </c>
      <c r="F62" s="425">
        <f t="shared" ref="F62" si="38">G62+H62+I62+J62+K62</f>
        <v>1444.2759081012641</v>
      </c>
      <c r="G62" s="425">
        <v>10.248892751958964</v>
      </c>
      <c r="H62" s="425">
        <v>114.94410664622156</v>
      </c>
      <c r="I62" s="425">
        <v>7.9000000000000001E-2</v>
      </c>
      <c r="J62" s="425">
        <v>2.5108886100000003</v>
      </c>
      <c r="K62" s="425">
        <v>1316.4930200930837</v>
      </c>
      <c r="L62" s="425">
        <f t="shared" si="4"/>
        <v>1566.5570006042813</v>
      </c>
      <c r="M62" s="425">
        <v>173.34181216586072</v>
      </c>
      <c r="N62" s="425">
        <v>1075.787999047936</v>
      </c>
      <c r="O62" s="425">
        <v>317.42718939048439</v>
      </c>
      <c r="P62" s="425">
        <f t="shared" si="10"/>
        <v>2804.0259529689397</v>
      </c>
      <c r="Q62" s="425">
        <v>29.203055767703656</v>
      </c>
      <c r="R62" s="425">
        <v>0.15282387000002201</v>
      </c>
      <c r="S62" s="425">
        <v>893.07526016295753</v>
      </c>
      <c r="T62" s="425">
        <v>12.343320852029999</v>
      </c>
      <c r="U62" s="425">
        <v>76.947214253477924</v>
      </c>
      <c r="V62" s="425">
        <v>312.72054486659903</v>
      </c>
      <c r="W62" s="425">
        <v>946.32976785425171</v>
      </c>
      <c r="X62" s="425">
        <v>444.00087199223253</v>
      </c>
      <c r="Y62" s="425">
        <v>29.943217161406</v>
      </c>
      <c r="Z62" s="425">
        <v>59.309876188281009</v>
      </c>
      <c r="AA62" s="425">
        <v>1628.4910093405554</v>
      </c>
      <c r="AB62" s="107"/>
      <c r="AC62" s="107"/>
      <c r="AD62" s="107"/>
      <c r="AE62" s="107"/>
      <c r="AF62" s="107"/>
      <c r="AG62" s="107"/>
      <c r="AH62" s="107"/>
      <c r="AI62" s="107"/>
      <c r="AJ62" s="107"/>
      <c r="AK62" s="107"/>
      <c r="AL62" s="107"/>
    </row>
    <row r="63" spans="1:38" s="105" customFormat="1" ht="15.75" customHeight="1">
      <c r="A63" s="418"/>
      <c r="B63" s="412" t="s">
        <v>234</v>
      </c>
      <c r="C63" s="434">
        <f t="shared" ref="C63" si="39">F63+L63+P63+AA63</f>
        <v>7661.4195718425872</v>
      </c>
      <c r="D63" s="430">
        <f t="shared" ref="D63" si="40">E63+P63</f>
        <v>5834.6753825642763</v>
      </c>
      <c r="E63" s="430">
        <f t="shared" ref="E63" si="41">F63+L63</f>
        <v>3027.1553505600023</v>
      </c>
      <c r="F63" s="430">
        <f t="shared" ref="F63" si="42">G63+H63+I63+J63+K63</f>
        <v>1443.5383004014252</v>
      </c>
      <c r="G63" s="430">
        <v>11.574872024831617</v>
      </c>
      <c r="H63" s="430">
        <v>122.5996822903066</v>
      </c>
      <c r="I63" s="430">
        <v>9.8000000000000004E-2</v>
      </c>
      <c r="J63" s="430">
        <v>2.2297015600000001</v>
      </c>
      <c r="K63" s="430">
        <v>1307.036044526287</v>
      </c>
      <c r="L63" s="430">
        <f t="shared" si="4"/>
        <v>1583.6170501585773</v>
      </c>
      <c r="M63" s="430">
        <v>174.31539164819938</v>
      </c>
      <c r="N63" s="430">
        <v>1094.656904095981</v>
      </c>
      <c r="O63" s="430">
        <v>314.6447544143968</v>
      </c>
      <c r="P63" s="430">
        <f t="shared" si="10"/>
        <v>2807.5200320042741</v>
      </c>
      <c r="Q63" s="430">
        <v>28.602698738350249</v>
      </c>
      <c r="R63" s="430">
        <v>0.23972821000008843</v>
      </c>
      <c r="S63" s="430">
        <v>902.9736344291324</v>
      </c>
      <c r="T63" s="430">
        <v>11.004766437224999</v>
      </c>
      <c r="U63" s="430">
        <v>70.954624133574001</v>
      </c>
      <c r="V63" s="430">
        <v>330.43911267943179</v>
      </c>
      <c r="W63" s="430">
        <v>932.56038472592229</v>
      </c>
      <c r="X63" s="430">
        <v>435.64526059981142</v>
      </c>
      <c r="Y63" s="430">
        <v>33.387087704793998</v>
      </c>
      <c r="Z63" s="430">
        <v>61.712734346033002</v>
      </c>
      <c r="AA63" s="430">
        <v>1826.7441892783111</v>
      </c>
      <c r="AB63" s="107"/>
      <c r="AC63" s="107"/>
      <c r="AD63" s="107"/>
      <c r="AE63" s="107"/>
      <c r="AF63" s="107"/>
      <c r="AG63" s="107"/>
      <c r="AH63" s="107"/>
      <c r="AI63" s="107"/>
      <c r="AJ63" s="107"/>
      <c r="AK63" s="107"/>
      <c r="AL63" s="107"/>
    </row>
    <row r="64" spans="1:38" s="105" customFormat="1" ht="15.75" customHeight="1">
      <c r="A64" s="416">
        <v>2025</v>
      </c>
      <c r="B64" s="410" t="s">
        <v>231</v>
      </c>
      <c r="C64" s="419">
        <f t="shared" ref="C64" si="43">F64+L64+P64+AA64</f>
        <v>7823.4665646421799</v>
      </c>
      <c r="D64" s="421">
        <f t="shared" ref="D64" si="44">E64+P64</f>
        <v>5846.0585052307215</v>
      </c>
      <c r="E64" s="421">
        <f t="shared" ref="E64" si="45">F64+L64</f>
        <v>2999.5304966390431</v>
      </c>
      <c r="F64" s="421">
        <f t="shared" ref="F64" si="46">G64+H64+I64+J64+K64</f>
        <v>1401.7019580204319</v>
      </c>
      <c r="G64" s="421">
        <v>12.327169422458246</v>
      </c>
      <c r="H64" s="421">
        <v>116.22466860604932</v>
      </c>
      <c r="I64" s="421">
        <v>0.10299999999999999</v>
      </c>
      <c r="J64" s="421">
        <v>2.0978331900000002</v>
      </c>
      <c r="K64" s="421">
        <v>1270.9492868019242</v>
      </c>
      <c r="L64" s="421">
        <f t="shared" si="4"/>
        <v>1597.8285386186112</v>
      </c>
      <c r="M64" s="421">
        <v>175.44769190278302</v>
      </c>
      <c r="N64" s="421">
        <v>1111.4269570636916</v>
      </c>
      <c r="O64" s="421">
        <v>310.95388965213658</v>
      </c>
      <c r="P64" s="421">
        <f t="shared" si="10"/>
        <v>2846.5280085916779</v>
      </c>
      <c r="Q64" s="421">
        <v>29.366804107358142</v>
      </c>
      <c r="R64" s="421">
        <v>0.26896088999987117</v>
      </c>
      <c r="S64" s="421">
        <v>964.81546342822094</v>
      </c>
      <c r="T64" s="421">
        <v>11.139103269818001</v>
      </c>
      <c r="U64" s="421">
        <v>73.418044269867679</v>
      </c>
      <c r="V64" s="421">
        <v>342.78823099379701</v>
      </c>
      <c r="W64" s="421">
        <v>901.59309900285814</v>
      </c>
      <c r="X64" s="421">
        <v>429.05041819039718</v>
      </c>
      <c r="Y64" s="421">
        <v>33.102559869616002</v>
      </c>
      <c r="Z64" s="421">
        <v>60.985324569744989</v>
      </c>
      <c r="AA64" s="421">
        <v>1977.4080594114589</v>
      </c>
      <c r="AB64" s="107"/>
      <c r="AC64" s="107"/>
      <c r="AD64" s="107"/>
      <c r="AE64" s="107"/>
      <c r="AF64" s="107"/>
      <c r="AG64" s="107"/>
      <c r="AH64" s="107"/>
      <c r="AI64" s="107"/>
      <c r="AJ64" s="107"/>
      <c r="AK64" s="107"/>
      <c r="AL64" s="107"/>
    </row>
    <row r="65" spans="1:38" s="105" customFormat="1" ht="15.75" customHeight="1">
      <c r="A65" s="417"/>
      <c r="B65" s="411" t="s">
        <v>232</v>
      </c>
      <c r="C65" s="435">
        <f t="shared" ref="C65" si="47">F65+L65+P65+AA65</f>
        <v>8082.6254496920646</v>
      </c>
      <c r="D65" s="425">
        <f t="shared" ref="D65" si="48">E65+P65</f>
        <v>5737.9435038515749</v>
      </c>
      <c r="E65" s="425">
        <f t="shared" ref="E65" si="49">F65+L65</f>
        <v>3022.0583633230681</v>
      </c>
      <c r="F65" s="425">
        <f t="shared" ref="F65" si="50">G65+H65+I65+J65+K65</f>
        <v>1415.7796846684048</v>
      </c>
      <c r="G65" s="425">
        <v>12.990304935262227</v>
      </c>
      <c r="H65" s="425">
        <v>119.87923414369088</v>
      </c>
      <c r="I65" s="425">
        <v>0.106</v>
      </c>
      <c r="J65" s="425">
        <v>2.3345497399999999</v>
      </c>
      <c r="K65" s="425">
        <v>1280.4695958494517</v>
      </c>
      <c r="L65" s="425">
        <f>M65+N65+O65</f>
        <v>1606.2786786546631</v>
      </c>
      <c r="M65" s="425">
        <v>173.75423155034639</v>
      </c>
      <c r="N65" s="425">
        <v>1124.3136625410159</v>
      </c>
      <c r="O65" s="425">
        <v>308.21078456330099</v>
      </c>
      <c r="P65" s="425">
        <f>Q65+R65+S65+T65+U65+V65+W65+X65+Y65+Z65</f>
        <v>2715.8851405285068</v>
      </c>
      <c r="Q65" s="425">
        <v>31.446686139571639</v>
      </c>
      <c r="R65" s="425">
        <v>0.2890535999999847</v>
      </c>
      <c r="S65" s="425">
        <v>831.74484783179969</v>
      </c>
      <c r="T65" s="425">
        <v>41.198538691938005</v>
      </c>
      <c r="U65" s="425">
        <v>83.677702610303001</v>
      </c>
      <c r="V65" s="425">
        <v>334.69799104910049</v>
      </c>
      <c r="W65" s="425">
        <v>850.84824141245122</v>
      </c>
      <c r="X65" s="425">
        <v>427.0560068380197</v>
      </c>
      <c r="Y65" s="425">
        <v>33.284556503569995</v>
      </c>
      <c r="Z65" s="425">
        <v>81.641515851752999</v>
      </c>
      <c r="AA65" s="425">
        <v>2344.6819458404893</v>
      </c>
      <c r="AB65" s="107"/>
      <c r="AC65" s="107"/>
      <c r="AD65" s="107"/>
      <c r="AE65" s="107"/>
      <c r="AF65" s="107"/>
      <c r="AG65" s="107"/>
      <c r="AH65" s="107"/>
      <c r="AI65" s="107"/>
      <c r="AJ65" s="107"/>
      <c r="AK65" s="107"/>
      <c r="AL65" s="107"/>
    </row>
    <row r="66" spans="1:38" s="105" customFormat="1" ht="15.75" customHeight="1">
      <c r="A66" s="417"/>
      <c r="B66" s="411" t="s">
        <v>233</v>
      </c>
      <c r="C66" s="435">
        <f>F66+L66+P66+AA66</f>
        <v>8311.5199855852352</v>
      </c>
      <c r="D66" s="425">
        <f t="shared" ref="D66:D67" si="51">E66+P66</f>
        <v>5771.5396238058411</v>
      </c>
      <c r="E66" s="425">
        <f t="shared" ref="E66:E67" si="52">F66+L66</f>
        <v>3012.8295936560935</v>
      </c>
      <c r="F66" s="425">
        <f t="shared" ref="F66:F67" si="53">G66+H66+I66+J66+K66</f>
        <v>1381.8676582341043</v>
      </c>
      <c r="G66" s="425">
        <v>14.261548120778013</v>
      </c>
      <c r="H66" s="425">
        <v>124.00353518412329</v>
      </c>
      <c r="I66" s="425">
        <v>0.106</v>
      </c>
      <c r="J66" s="425">
        <v>2.36646293</v>
      </c>
      <c r="K66" s="425">
        <v>1241.1301119992029</v>
      </c>
      <c r="L66" s="425">
        <f>M66+N66+O66</f>
        <v>1630.9619354219892</v>
      </c>
      <c r="M66" s="425">
        <v>175.53981467851074</v>
      </c>
      <c r="N66" s="425">
        <v>1150.0045776724298</v>
      </c>
      <c r="O66" s="425">
        <v>305.41754307104861</v>
      </c>
      <c r="P66" s="425">
        <f>Q66+R66+S66+T66+U66+V66+W66+X66+Y66+Z66</f>
        <v>2758.7100301497476</v>
      </c>
      <c r="Q66" s="425">
        <v>31.05924136398243</v>
      </c>
      <c r="R66" s="425">
        <v>48.058951989999976</v>
      </c>
      <c r="S66" s="425">
        <v>827.08814624316392</v>
      </c>
      <c r="T66" s="425">
        <v>41.932833171199</v>
      </c>
      <c r="U66" s="425">
        <v>87.908520648710947</v>
      </c>
      <c r="V66" s="425">
        <v>332.18801959386428</v>
      </c>
      <c r="W66" s="425">
        <v>843.19395094742572</v>
      </c>
      <c r="X66" s="425">
        <v>426.86318432464867</v>
      </c>
      <c r="Y66" s="425">
        <v>32.477253803400004</v>
      </c>
      <c r="Z66" s="425">
        <v>87.939928063352966</v>
      </c>
      <c r="AA66" s="425">
        <v>2539.9803617793946</v>
      </c>
      <c r="AB66" s="107"/>
      <c r="AC66" s="107"/>
      <c r="AD66" s="107"/>
      <c r="AE66" s="107"/>
      <c r="AF66" s="107"/>
      <c r="AG66" s="107"/>
      <c r="AH66" s="107"/>
      <c r="AI66" s="107"/>
      <c r="AJ66" s="107"/>
      <c r="AK66" s="107"/>
      <c r="AL66" s="107"/>
    </row>
    <row r="67" spans="1:38" s="105" customFormat="1" ht="15.75" customHeight="1">
      <c r="A67" s="418"/>
      <c r="B67" s="412" t="s">
        <v>234</v>
      </c>
      <c r="C67" s="434">
        <f>F67+L67+P67+AA67</f>
        <v>8595.640392975316</v>
      </c>
      <c r="D67" s="430">
        <f t="shared" si="51"/>
        <v>5897.2222473676356</v>
      </c>
      <c r="E67" s="430">
        <f t="shared" si="52"/>
        <v>3031.4718579210985</v>
      </c>
      <c r="F67" s="430">
        <f t="shared" si="53"/>
        <v>1374.9143436384447</v>
      </c>
      <c r="G67" s="430">
        <v>14.1698800702667</v>
      </c>
      <c r="H67" s="430">
        <v>130.49013114304799</v>
      </c>
      <c r="I67" s="430">
        <v>0.129</v>
      </c>
      <c r="J67" s="430">
        <v>2.5543122199999999</v>
      </c>
      <c r="K67" s="430">
        <v>1227.57102020513</v>
      </c>
      <c r="L67" s="430">
        <f>M67+N67+O67</f>
        <v>1656.557514282654</v>
      </c>
      <c r="M67" s="430">
        <v>174.76770827102399</v>
      </c>
      <c r="N67" s="430">
        <v>1180.39355434601</v>
      </c>
      <c r="O67" s="430">
        <v>301.39625166562001</v>
      </c>
      <c r="P67" s="430">
        <f>Q67+R67+S67+T67+U67+V67+W67+X67+Y67+Z67</f>
        <v>2865.7503894465372</v>
      </c>
      <c r="Q67" s="430">
        <v>33.606686961266497</v>
      </c>
      <c r="R67" s="430">
        <v>0.19509224000002701</v>
      </c>
      <c r="S67" s="430">
        <v>917.75729929777697</v>
      </c>
      <c r="T67" s="430">
        <v>44.916426016382999</v>
      </c>
      <c r="U67" s="430">
        <v>105.494168060379</v>
      </c>
      <c r="V67" s="430">
        <v>344.30891478535301</v>
      </c>
      <c r="W67" s="430">
        <v>856.11736784942195</v>
      </c>
      <c r="X67" s="430">
        <v>443.764375759286</v>
      </c>
      <c r="Y67" s="430">
        <v>31.871819158994999</v>
      </c>
      <c r="Z67" s="430">
        <v>87.718239317675994</v>
      </c>
      <c r="AA67" s="430">
        <v>2698.4181456076799</v>
      </c>
      <c r="AB67" s="107"/>
      <c r="AC67" s="107"/>
      <c r="AD67" s="107"/>
      <c r="AE67" s="107"/>
      <c r="AF67" s="107"/>
      <c r="AG67" s="107"/>
      <c r="AH67" s="107"/>
      <c r="AI67" s="107"/>
      <c r="AJ67" s="107"/>
      <c r="AK67" s="107"/>
      <c r="AL67" s="107"/>
    </row>
    <row r="68" spans="1:38" s="105" customFormat="1" ht="15.75" customHeight="1">
      <c r="A68" s="671">
        <v>2026</v>
      </c>
      <c r="B68" s="672" t="s">
        <v>231</v>
      </c>
      <c r="C68" s="673">
        <f>F68+L68+P68+AA68</f>
        <v>8704.2084196542291</v>
      </c>
      <c r="D68" s="674">
        <f t="shared" ref="D68" si="54">E68+P68</f>
        <v>5976.280883676658</v>
      </c>
      <c r="E68" s="674">
        <f t="shared" ref="E68" si="55">F68+L68</f>
        <v>3038.6951710895464</v>
      </c>
      <c r="F68" s="674">
        <f t="shared" ref="F68" si="56">G68+H68+I68+J68+K68</f>
        <v>1368.583461111821</v>
      </c>
      <c r="G68" s="674">
        <v>14.574</v>
      </c>
      <c r="H68" s="674">
        <v>124.98699999999999</v>
      </c>
      <c r="I68" s="674">
        <v>0.16300000000000001</v>
      </c>
      <c r="J68" s="674">
        <v>2.4929999999999999</v>
      </c>
      <c r="K68" s="674">
        <v>1226.3664611118209</v>
      </c>
      <c r="L68" s="674">
        <f>M68+N68+O68</f>
        <v>1670.1117099777255</v>
      </c>
      <c r="M68" s="674">
        <v>176.37919494605018</v>
      </c>
      <c r="N68" s="674">
        <v>1195.8030926258705</v>
      </c>
      <c r="O68" s="674">
        <v>297.92942240580487</v>
      </c>
      <c r="P68" s="674">
        <f>Q68+R68+S68+T68+U68+V68+W68+X68+Y68+Z68</f>
        <v>2937.5857125871121</v>
      </c>
      <c r="Q68" s="674">
        <v>39.579449073923591</v>
      </c>
      <c r="R68" s="674">
        <v>0.205154649999924</v>
      </c>
      <c r="S68" s="674">
        <v>947.67476260341152</v>
      </c>
      <c r="T68" s="674">
        <v>47.067358561993004</v>
      </c>
      <c r="U68" s="674">
        <v>99.133039279372952</v>
      </c>
      <c r="V68" s="674">
        <v>357.32850206728619</v>
      </c>
      <c r="W68" s="674">
        <v>882.96248151527982</v>
      </c>
      <c r="X68" s="674">
        <v>452.91814319402818</v>
      </c>
      <c r="Y68" s="674">
        <v>26.752424953409999</v>
      </c>
      <c r="Z68" s="674">
        <v>83.964396688407021</v>
      </c>
      <c r="AA68" s="674">
        <v>2727.9275359775711</v>
      </c>
      <c r="AB68" s="107"/>
      <c r="AC68" s="107"/>
      <c r="AD68" s="107"/>
      <c r="AE68" s="107"/>
      <c r="AF68" s="107"/>
      <c r="AG68" s="107"/>
      <c r="AH68" s="107"/>
      <c r="AI68" s="107"/>
      <c r="AJ68" s="107"/>
      <c r="AK68" s="107"/>
      <c r="AL68" s="107"/>
    </row>
    <row r="69" spans="1:38">
      <c r="E69" s="74"/>
      <c r="F69" s="74"/>
      <c r="G69" s="74"/>
      <c r="H69" s="74"/>
      <c r="I69" s="74"/>
      <c r="J69" s="74"/>
      <c r="K69" s="74"/>
      <c r="L69" s="74"/>
      <c r="M69" s="74"/>
      <c r="N69" s="74"/>
      <c r="O69" s="74"/>
      <c r="P69" s="74"/>
      <c r="Q69" s="74"/>
      <c r="R69" s="74"/>
      <c r="S69" s="74"/>
      <c r="T69" s="74"/>
      <c r="U69" s="74"/>
      <c r="V69" s="74"/>
      <c r="W69" s="74"/>
      <c r="X69" s="74"/>
      <c r="Y69" s="74"/>
      <c r="Z69" s="74"/>
      <c r="AA69" s="74"/>
    </row>
    <row r="70" spans="1:38">
      <c r="A70" s="171" t="s">
        <v>195</v>
      </c>
    </row>
    <row r="71" spans="1:38">
      <c r="C71" s="73"/>
      <c r="D71" s="73"/>
      <c r="E71" s="73"/>
      <c r="F71" s="73"/>
      <c r="G71" s="73"/>
      <c r="H71" s="73"/>
      <c r="I71" s="73"/>
      <c r="J71" s="73"/>
      <c r="K71" s="73"/>
      <c r="L71" s="73"/>
      <c r="M71" s="73"/>
      <c r="N71" s="73"/>
      <c r="O71" s="73"/>
      <c r="P71" s="73"/>
      <c r="Q71" s="73"/>
      <c r="R71" s="73"/>
      <c r="S71" s="73"/>
      <c r="T71" s="73"/>
      <c r="U71" s="73"/>
      <c r="V71" s="73"/>
      <c r="W71" s="73"/>
      <c r="X71" s="73"/>
      <c r="Y71" s="73"/>
      <c r="Z71" s="73"/>
      <c r="AA71" s="183"/>
    </row>
    <row r="72" spans="1:38">
      <c r="A72" s="161" t="s">
        <v>119</v>
      </c>
      <c r="C72" s="78"/>
      <c r="D72" s="78"/>
      <c r="E72" s="78"/>
      <c r="F72" s="182"/>
      <c r="G72" s="78"/>
      <c r="H72" s="78"/>
      <c r="I72" s="78"/>
      <c r="J72" s="78"/>
      <c r="K72" s="78"/>
      <c r="L72" s="78"/>
      <c r="M72" s="78"/>
      <c r="N72" s="78"/>
      <c r="O72" s="78"/>
      <c r="P72" s="78"/>
      <c r="Q72" s="78"/>
      <c r="R72" s="78"/>
      <c r="S72" s="78"/>
      <c r="T72" s="78"/>
      <c r="U72" s="78"/>
      <c r="V72" s="78"/>
      <c r="W72" s="78"/>
      <c r="X72" s="78"/>
      <c r="Y72" s="78"/>
      <c r="Z72" s="78"/>
      <c r="AA72" s="78"/>
    </row>
    <row r="73" spans="1:38">
      <c r="A73" s="161" t="s">
        <v>120</v>
      </c>
    </row>
    <row r="74" spans="1:38">
      <c r="C74" s="82"/>
      <c r="D74" s="82"/>
      <c r="E74" s="82"/>
      <c r="F74" s="82"/>
      <c r="G74" s="82"/>
      <c r="H74" s="82"/>
      <c r="I74" s="82"/>
      <c r="J74" s="82"/>
      <c r="K74" s="82"/>
      <c r="L74" s="82"/>
      <c r="M74" s="82"/>
      <c r="N74" s="82"/>
      <c r="O74" s="82"/>
      <c r="P74" s="82"/>
      <c r="Q74" s="82"/>
      <c r="R74" s="82"/>
      <c r="S74" s="82"/>
      <c r="T74" s="82"/>
      <c r="U74" s="82"/>
      <c r="V74" s="82"/>
      <c r="W74" s="82"/>
      <c r="X74" s="82"/>
      <c r="Y74" s="82"/>
      <c r="Z74" s="82"/>
      <c r="AA74" s="82"/>
    </row>
    <row r="75" spans="1:38">
      <c r="I75" s="171"/>
    </row>
    <row r="76" spans="1:38">
      <c r="I76" s="161"/>
    </row>
    <row r="77" spans="1:38">
      <c r="I77" s="161"/>
    </row>
    <row r="78" spans="1:38">
      <c r="I78" s="161"/>
    </row>
  </sheetData>
  <sheetProtection sheet="1" formatCells="0" insertColumns="0" insertRows="0" deleteColumns="0" deleteRows="0"/>
  <mergeCells count="24">
    <mergeCell ref="A1:P1"/>
    <mergeCell ref="Y6:Y7"/>
    <mergeCell ref="E6:E7"/>
    <mergeCell ref="C4:C7"/>
    <mergeCell ref="U6:U7"/>
    <mergeCell ref="V6:V7"/>
    <mergeCell ref="W6:W7"/>
    <mergeCell ref="X6:X7"/>
    <mergeCell ref="A2:AA2"/>
    <mergeCell ref="L6:O6"/>
    <mergeCell ref="F6:K6"/>
    <mergeCell ref="E5:O5"/>
    <mergeCell ref="P5:Z5"/>
    <mergeCell ref="P6:P7"/>
    <mergeCell ref="Q6:Q7"/>
    <mergeCell ref="R6:R7"/>
    <mergeCell ref="AA4:AA7"/>
    <mergeCell ref="C3:AA3"/>
    <mergeCell ref="S6:S7"/>
    <mergeCell ref="T6:T7"/>
    <mergeCell ref="A3:B7"/>
    <mergeCell ref="Z6:Z7"/>
    <mergeCell ref="D4:Z4"/>
    <mergeCell ref="D5:D7"/>
  </mergeCells>
  <pageMargins left="0.2" right="0.2" top="0.75" bottom="0.75" header="0.3" footer="0.3"/>
  <pageSetup paperSize="9" scale="4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75"/>
  <sheetViews>
    <sheetView zoomScaleNormal="100" workbookViewId="0">
      <pane ySplit="4" topLeftCell="A47" activePane="bottomLeft" state="frozen"/>
      <selection activeCell="G153" sqref="G153"/>
      <selection pane="bottomLeft" activeCell="C66" sqref="C66"/>
    </sheetView>
  </sheetViews>
  <sheetFormatPr defaultColWidth="9.1796875" defaultRowHeight="13"/>
  <cols>
    <col min="1" max="2" width="6.81640625" style="65" customWidth="1"/>
    <col min="3" max="7" width="25.81640625" style="65" customWidth="1"/>
    <col min="8" max="16384" width="9.1796875" style="65"/>
  </cols>
  <sheetData>
    <row r="1" spans="1:11" ht="15.5">
      <c r="A1" s="709" t="s">
        <v>235</v>
      </c>
      <c r="B1" s="709"/>
      <c r="C1" s="709"/>
      <c r="D1" s="709"/>
      <c r="E1" s="709"/>
      <c r="F1" s="709"/>
      <c r="G1" s="709"/>
    </row>
    <row r="2" spans="1:11" ht="14">
      <c r="A2" s="768" t="s">
        <v>97</v>
      </c>
      <c r="B2" s="768"/>
      <c r="C2" s="768"/>
      <c r="D2" s="768"/>
      <c r="E2" s="768"/>
      <c r="F2" s="768"/>
      <c r="G2" s="83"/>
    </row>
    <row r="3" spans="1:11" ht="15" customHeight="1">
      <c r="A3" s="717" t="s">
        <v>98</v>
      </c>
      <c r="B3" s="718"/>
      <c r="C3" s="772" t="s">
        <v>236</v>
      </c>
      <c r="D3" s="772"/>
      <c r="E3" s="772"/>
      <c r="F3" s="773"/>
      <c r="G3" s="759" t="s">
        <v>237</v>
      </c>
    </row>
    <row r="4" spans="1:11" ht="28">
      <c r="A4" s="719"/>
      <c r="B4" s="720"/>
      <c r="C4" s="447" t="s">
        <v>102</v>
      </c>
      <c r="D4" s="281" t="s">
        <v>238</v>
      </c>
      <c r="E4" s="281" t="s">
        <v>239</v>
      </c>
      <c r="F4" s="281" t="s">
        <v>240</v>
      </c>
      <c r="G4" s="761"/>
    </row>
    <row r="5" spans="1:11" ht="14">
      <c r="A5" s="238">
        <v>2011</v>
      </c>
      <c r="B5" s="272" t="s">
        <v>231</v>
      </c>
      <c r="C5" s="451">
        <f>D5+E5+F5</f>
        <v>705.72</v>
      </c>
      <c r="D5" s="452">
        <v>311.87</v>
      </c>
      <c r="E5" s="451">
        <v>37.86</v>
      </c>
      <c r="F5" s="453">
        <v>355.99</v>
      </c>
      <c r="G5" s="454">
        <v>13.77</v>
      </c>
      <c r="H5" s="74"/>
      <c r="I5" s="74"/>
      <c r="J5" s="74"/>
      <c r="K5" s="74"/>
    </row>
    <row r="6" spans="1:11" ht="14">
      <c r="A6" s="239"/>
      <c r="B6" s="273" t="s">
        <v>232</v>
      </c>
      <c r="C6" s="455">
        <f>D6+E6+F6</f>
        <v>453.18</v>
      </c>
      <c r="D6" s="456">
        <v>57.38</v>
      </c>
      <c r="E6" s="455">
        <v>32.82</v>
      </c>
      <c r="F6" s="457">
        <v>362.98</v>
      </c>
      <c r="G6" s="458">
        <v>9.61</v>
      </c>
      <c r="H6" s="74"/>
      <c r="I6" s="74"/>
      <c r="J6" s="74"/>
      <c r="K6" s="74"/>
    </row>
    <row r="7" spans="1:11" ht="14">
      <c r="A7" s="239"/>
      <c r="B7" s="273" t="s">
        <v>233</v>
      </c>
      <c r="C7" s="455">
        <f t="shared" ref="C7:C29" si="0">D7+E7+F7</f>
        <v>433.63</v>
      </c>
      <c r="D7" s="456">
        <v>40.21</v>
      </c>
      <c r="E7" s="455">
        <v>34.4</v>
      </c>
      <c r="F7" s="457">
        <v>359.02</v>
      </c>
      <c r="G7" s="458">
        <v>8.9700000000000006</v>
      </c>
      <c r="H7" s="74"/>
      <c r="I7" s="74"/>
      <c r="J7" s="74"/>
      <c r="K7" s="74"/>
    </row>
    <row r="8" spans="1:11" ht="14">
      <c r="A8" s="240"/>
      <c r="B8" s="274" t="s">
        <v>234</v>
      </c>
      <c r="C8" s="459">
        <f t="shared" si="0"/>
        <v>388.15999999999997</v>
      </c>
      <c r="D8" s="460">
        <v>35.020000000000003</v>
      </c>
      <c r="E8" s="459">
        <v>28.51</v>
      </c>
      <c r="F8" s="461">
        <v>324.63</v>
      </c>
      <c r="G8" s="462">
        <v>7.62</v>
      </c>
      <c r="H8" s="74"/>
      <c r="I8" s="74"/>
      <c r="J8" s="74"/>
      <c r="K8" s="74"/>
    </row>
    <row r="9" spans="1:11" ht="14">
      <c r="A9" s="239">
        <v>2012</v>
      </c>
      <c r="B9" s="273" t="s">
        <v>231</v>
      </c>
      <c r="C9" s="455">
        <f t="shared" si="0"/>
        <v>374.22</v>
      </c>
      <c r="D9" s="456">
        <v>39.409999999999997</v>
      </c>
      <c r="E9" s="455">
        <v>28.12</v>
      </c>
      <c r="F9" s="457">
        <v>306.69</v>
      </c>
      <c r="G9" s="458">
        <v>7.64</v>
      </c>
      <c r="H9" s="74"/>
      <c r="I9" s="74"/>
      <c r="J9" s="74"/>
      <c r="K9" s="74"/>
    </row>
    <row r="10" spans="1:11" ht="14">
      <c r="A10" s="239"/>
      <c r="B10" s="273" t="s">
        <v>232</v>
      </c>
      <c r="C10" s="455">
        <f t="shared" si="0"/>
        <v>361.67999999999995</v>
      </c>
      <c r="D10" s="456">
        <v>32.96</v>
      </c>
      <c r="E10" s="455">
        <v>26.94</v>
      </c>
      <c r="F10" s="457">
        <v>301.77999999999997</v>
      </c>
      <c r="G10" s="458">
        <v>7.23</v>
      </c>
      <c r="H10" s="74"/>
      <c r="I10" s="74"/>
      <c r="J10" s="74"/>
      <c r="K10" s="74"/>
    </row>
    <row r="11" spans="1:11" ht="14">
      <c r="A11" s="239"/>
      <c r="B11" s="273" t="s">
        <v>233</v>
      </c>
      <c r="C11" s="455">
        <f t="shared" si="0"/>
        <v>363.38</v>
      </c>
      <c r="D11" s="456">
        <v>37.619999999999997</v>
      </c>
      <c r="E11" s="455">
        <v>29.16</v>
      </c>
      <c r="F11" s="457">
        <v>296.60000000000002</v>
      </c>
      <c r="G11" s="458">
        <v>7.03</v>
      </c>
      <c r="H11" s="74"/>
      <c r="I11" s="74"/>
      <c r="J11" s="74"/>
      <c r="K11" s="74"/>
    </row>
    <row r="12" spans="1:11" ht="14">
      <c r="A12" s="239"/>
      <c r="B12" s="273" t="s">
        <v>234</v>
      </c>
      <c r="C12" s="459">
        <f t="shared" si="0"/>
        <v>352.72</v>
      </c>
      <c r="D12" s="456">
        <v>33.86</v>
      </c>
      <c r="E12" s="455">
        <v>29.37</v>
      </c>
      <c r="F12" s="457">
        <v>289.49</v>
      </c>
      <c r="G12" s="458">
        <v>6.78</v>
      </c>
      <c r="H12" s="74"/>
      <c r="I12" s="74"/>
      <c r="J12" s="74"/>
      <c r="K12" s="74"/>
    </row>
    <row r="13" spans="1:11" ht="14">
      <c r="A13" s="238">
        <v>2013</v>
      </c>
      <c r="B13" s="247" t="s">
        <v>231</v>
      </c>
      <c r="C13" s="455">
        <f t="shared" si="0"/>
        <v>353.83000000000004</v>
      </c>
      <c r="D13" s="451">
        <v>29.16</v>
      </c>
      <c r="E13" s="451">
        <v>34.19</v>
      </c>
      <c r="F13" s="463">
        <v>290.48</v>
      </c>
      <c r="G13" s="454">
        <v>6.83</v>
      </c>
      <c r="H13" s="74"/>
      <c r="I13" s="74"/>
      <c r="J13" s="74"/>
      <c r="K13" s="74"/>
    </row>
    <row r="14" spans="1:11" ht="14">
      <c r="A14" s="239"/>
      <c r="B14" s="251" t="s">
        <v>232</v>
      </c>
      <c r="C14" s="455">
        <f t="shared" si="0"/>
        <v>360.89</v>
      </c>
      <c r="D14" s="455">
        <v>42.75</v>
      </c>
      <c r="E14" s="455">
        <v>32.549999999999997</v>
      </c>
      <c r="F14" s="464">
        <v>285.58999999999997</v>
      </c>
      <c r="G14" s="458">
        <v>6.73</v>
      </c>
      <c r="H14" s="74"/>
      <c r="I14" s="74"/>
      <c r="J14" s="74"/>
      <c r="K14" s="74"/>
    </row>
    <row r="15" spans="1:11" ht="14">
      <c r="A15" s="239"/>
      <c r="B15" s="251" t="s">
        <v>233</v>
      </c>
      <c r="C15" s="455">
        <f t="shared" si="0"/>
        <v>372.13</v>
      </c>
      <c r="D15" s="455">
        <v>30.78</v>
      </c>
      <c r="E15" s="455">
        <v>48.66</v>
      </c>
      <c r="F15" s="465">
        <v>292.69</v>
      </c>
      <c r="G15" s="455">
        <v>6.78</v>
      </c>
      <c r="H15" s="74"/>
      <c r="I15" s="74"/>
      <c r="J15" s="74"/>
      <c r="K15" s="74"/>
    </row>
    <row r="16" spans="1:11" ht="14">
      <c r="A16" s="240"/>
      <c r="B16" s="252" t="s">
        <v>234</v>
      </c>
      <c r="C16" s="459">
        <f t="shared" si="0"/>
        <v>318.62</v>
      </c>
      <c r="D16" s="459">
        <v>30.96</v>
      </c>
      <c r="E16" s="459">
        <v>40.67</v>
      </c>
      <c r="F16" s="466">
        <v>246.99</v>
      </c>
      <c r="G16" s="459">
        <v>5.67</v>
      </c>
      <c r="H16" s="74"/>
      <c r="I16" s="74"/>
      <c r="J16" s="74"/>
      <c r="K16" s="74"/>
    </row>
    <row r="17" spans="1:11" ht="14">
      <c r="A17" s="238">
        <v>2014</v>
      </c>
      <c r="B17" s="272" t="s">
        <v>231</v>
      </c>
      <c r="C17" s="455">
        <f t="shared" si="0"/>
        <v>311.02999999999997</v>
      </c>
      <c r="D17" s="455">
        <v>31.01</v>
      </c>
      <c r="E17" s="455">
        <v>34.770000000000003</v>
      </c>
      <c r="F17" s="465">
        <v>245.25</v>
      </c>
      <c r="G17" s="455">
        <v>5.67</v>
      </c>
      <c r="H17" s="74"/>
      <c r="I17" s="74"/>
      <c r="J17" s="74"/>
      <c r="K17" s="74"/>
    </row>
    <row r="18" spans="1:11" ht="14">
      <c r="A18" s="239"/>
      <c r="B18" s="273" t="s">
        <v>232</v>
      </c>
      <c r="C18" s="455">
        <f t="shared" si="0"/>
        <v>343.24</v>
      </c>
      <c r="D18" s="456">
        <v>61.63</v>
      </c>
      <c r="E18" s="455">
        <v>45.36</v>
      </c>
      <c r="F18" s="456">
        <v>236.25</v>
      </c>
      <c r="G18" s="455">
        <v>6.2</v>
      </c>
      <c r="H18" s="74"/>
      <c r="I18" s="74"/>
      <c r="J18" s="74"/>
      <c r="K18" s="74"/>
    </row>
    <row r="19" spans="1:11" ht="14">
      <c r="A19" s="239"/>
      <c r="B19" s="273" t="s">
        <v>233</v>
      </c>
      <c r="C19" s="455">
        <f t="shared" si="0"/>
        <v>322.10000000000002</v>
      </c>
      <c r="D19" s="456">
        <v>45.52</v>
      </c>
      <c r="E19" s="455">
        <v>56.36</v>
      </c>
      <c r="F19" s="456">
        <v>220.22</v>
      </c>
      <c r="G19" s="455">
        <v>5.73</v>
      </c>
      <c r="H19" s="74"/>
      <c r="I19" s="74"/>
      <c r="J19" s="74"/>
      <c r="K19" s="74"/>
    </row>
    <row r="20" spans="1:11" ht="14">
      <c r="A20" s="240"/>
      <c r="B20" s="274" t="s">
        <v>234</v>
      </c>
      <c r="C20" s="459">
        <f t="shared" si="0"/>
        <v>287.35000000000002</v>
      </c>
      <c r="D20" s="460">
        <v>30.31</v>
      </c>
      <c r="E20" s="459">
        <v>35.950000000000003</v>
      </c>
      <c r="F20" s="460">
        <v>221.09</v>
      </c>
      <c r="G20" s="459">
        <v>5.03</v>
      </c>
      <c r="H20" s="74"/>
      <c r="I20" s="74"/>
      <c r="J20" s="74"/>
      <c r="K20" s="74"/>
    </row>
    <row r="21" spans="1:11" ht="14">
      <c r="A21" s="239">
        <v>2015</v>
      </c>
      <c r="B21" s="273" t="s">
        <v>231</v>
      </c>
      <c r="C21" s="455">
        <f t="shared" si="0"/>
        <v>263.21999999999997</v>
      </c>
      <c r="D21" s="451">
        <v>36.369999999999997</v>
      </c>
      <c r="E21" s="455">
        <v>28.68</v>
      </c>
      <c r="F21" s="467">
        <v>198.17</v>
      </c>
      <c r="G21" s="451">
        <v>4.6900000000000004</v>
      </c>
      <c r="H21" s="74"/>
      <c r="I21" s="74"/>
      <c r="J21" s="74"/>
      <c r="K21" s="74"/>
    </row>
    <row r="22" spans="1:11" ht="14">
      <c r="A22" s="239"/>
      <c r="B22" s="251" t="s">
        <v>232</v>
      </c>
      <c r="C22" s="455">
        <f t="shared" si="0"/>
        <v>234.01</v>
      </c>
      <c r="D22" s="456">
        <v>35.28</v>
      </c>
      <c r="E22" s="455">
        <v>24.59</v>
      </c>
      <c r="F22" s="456">
        <v>174.14</v>
      </c>
      <c r="G22" s="455">
        <v>3.98</v>
      </c>
      <c r="H22" s="74"/>
      <c r="I22" s="74"/>
      <c r="J22" s="74"/>
      <c r="K22" s="74"/>
    </row>
    <row r="23" spans="1:11" ht="14">
      <c r="A23" s="239"/>
      <c r="B23" s="251" t="s">
        <v>233</v>
      </c>
      <c r="C23" s="455">
        <f t="shared" si="0"/>
        <v>255.51</v>
      </c>
      <c r="D23" s="455">
        <v>49.89</v>
      </c>
      <c r="E23" s="455">
        <v>28.72</v>
      </c>
      <c r="F23" s="465">
        <v>176.9</v>
      </c>
      <c r="G23" s="455">
        <v>4.2300000000000004</v>
      </c>
      <c r="H23" s="74"/>
      <c r="I23" s="74"/>
      <c r="J23" s="74"/>
      <c r="K23" s="74"/>
    </row>
    <row r="24" spans="1:11" ht="14">
      <c r="A24" s="240"/>
      <c r="B24" s="252" t="s">
        <v>234</v>
      </c>
      <c r="C24" s="459">
        <f t="shared" si="0"/>
        <v>299.85000000000002</v>
      </c>
      <c r="D24" s="459">
        <v>63.43</v>
      </c>
      <c r="E24" s="459">
        <v>34.619999999999997</v>
      </c>
      <c r="F24" s="466">
        <v>201.8</v>
      </c>
      <c r="G24" s="459">
        <v>4.9000000000000004</v>
      </c>
      <c r="H24" s="74"/>
      <c r="I24" s="74"/>
      <c r="J24" s="74"/>
      <c r="K24" s="74"/>
    </row>
    <row r="25" spans="1:11" ht="14">
      <c r="A25" s="238">
        <v>2016</v>
      </c>
      <c r="B25" s="247" t="s">
        <v>231</v>
      </c>
      <c r="C25" s="455">
        <f t="shared" si="0"/>
        <v>284.72000000000003</v>
      </c>
      <c r="D25" s="451">
        <v>43.79</v>
      </c>
      <c r="E25" s="451">
        <v>59.87</v>
      </c>
      <c r="F25" s="467">
        <v>181.06</v>
      </c>
      <c r="G25" s="451">
        <v>4.67</v>
      </c>
      <c r="H25" s="74"/>
      <c r="I25" s="74"/>
      <c r="J25" s="74"/>
      <c r="K25" s="74"/>
    </row>
    <row r="26" spans="1:11" ht="14">
      <c r="A26" s="239"/>
      <c r="B26" s="251" t="s">
        <v>232</v>
      </c>
      <c r="C26" s="455">
        <f t="shared" si="0"/>
        <v>272.81</v>
      </c>
      <c r="D26" s="455">
        <v>36.590000000000003</v>
      </c>
      <c r="E26" s="455">
        <v>52.71</v>
      </c>
      <c r="F26" s="465">
        <v>183.51</v>
      </c>
      <c r="G26" s="455">
        <v>4.53</v>
      </c>
      <c r="H26" s="74"/>
      <c r="I26" s="74"/>
      <c r="J26" s="74"/>
      <c r="K26" s="74"/>
    </row>
    <row r="27" spans="1:11" ht="14">
      <c r="A27" s="239"/>
      <c r="B27" s="251" t="s">
        <v>233</v>
      </c>
      <c r="C27" s="455">
        <f t="shared" si="0"/>
        <v>320.49</v>
      </c>
      <c r="D27" s="455">
        <v>77.81</v>
      </c>
      <c r="E27" s="455">
        <v>54.59</v>
      </c>
      <c r="F27" s="465">
        <v>188.09</v>
      </c>
      <c r="G27" s="455">
        <v>5.43</v>
      </c>
      <c r="H27" s="74"/>
      <c r="I27" s="74"/>
      <c r="J27" s="74"/>
      <c r="K27" s="74"/>
    </row>
    <row r="28" spans="1:11" ht="14">
      <c r="A28" s="240"/>
      <c r="B28" s="252" t="s">
        <v>234</v>
      </c>
      <c r="C28" s="459">
        <f t="shared" si="0"/>
        <v>317.91999999999996</v>
      </c>
      <c r="D28" s="459">
        <v>66.16</v>
      </c>
      <c r="E28" s="459">
        <v>42.78</v>
      </c>
      <c r="F28" s="466">
        <v>208.98</v>
      </c>
      <c r="G28" s="459">
        <v>5.88</v>
      </c>
      <c r="H28" s="74"/>
      <c r="I28" s="74"/>
      <c r="J28" s="74"/>
      <c r="K28" s="74"/>
    </row>
    <row r="29" spans="1:11" ht="14">
      <c r="A29" s="238">
        <v>2017</v>
      </c>
      <c r="B29" s="247" t="s">
        <v>231</v>
      </c>
      <c r="C29" s="455">
        <f t="shared" si="0"/>
        <v>301.51</v>
      </c>
      <c r="D29" s="451">
        <v>85.18</v>
      </c>
      <c r="E29" s="451">
        <v>32.520000000000003</v>
      </c>
      <c r="F29" s="467">
        <v>183.81</v>
      </c>
      <c r="G29" s="451">
        <v>5.75</v>
      </c>
      <c r="H29" s="74"/>
      <c r="I29" s="74"/>
      <c r="J29" s="74"/>
      <c r="K29" s="74"/>
    </row>
    <row r="30" spans="1:11" ht="14">
      <c r="A30" s="239"/>
      <c r="B30" s="251" t="s">
        <v>232</v>
      </c>
      <c r="C30" s="455">
        <f t="shared" ref="C30:C66" si="1">D30+E30+F30</f>
        <v>276.79999999999995</v>
      </c>
      <c r="D30" s="455">
        <v>58.54</v>
      </c>
      <c r="E30" s="455">
        <v>35.78</v>
      </c>
      <c r="F30" s="465">
        <v>182.48</v>
      </c>
      <c r="G30" s="455">
        <v>5.3</v>
      </c>
      <c r="H30" s="74"/>
      <c r="I30" s="74"/>
      <c r="J30" s="74"/>
      <c r="K30" s="74"/>
    </row>
    <row r="31" spans="1:11" ht="14">
      <c r="A31" s="239"/>
      <c r="B31" s="251" t="s">
        <v>233</v>
      </c>
      <c r="C31" s="455">
        <f t="shared" si="1"/>
        <v>274.22000000000003</v>
      </c>
      <c r="D31" s="455">
        <v>47.99</v>
      </c>
      <c r="E31" s="455">
        <v>37.96</v>
      </c>
      <c r="F31" s="465">
        <v>188.27</v>
      </c>
      <c r="G31" s="455">
        <v>5.29</v>
      </c>
      <c r="H31" s="74"/>
      <c r="I31" s="74"/>
      <c r="J31" s="74"/>
      <c r="K31" s="74"/>
    </row>
    <row r="32" spans="1:11" ht="14">
      <c r="A32" s="240"/>
      <c r="B32" s="252" t="s">
        <v>234</v>
      </c>
      <c r="C32" s="459">
        <f t="shared" si="1"/>
        <v>225.68</v>
      </c>
      <c r="D32" s="459">
        <v>29.19</v>
      </c>
      <c r="E32" s="459">
        <v>31.17</v>
      </c>
      <c r="F32" s="466">
        <v>165.32</v>
      </c>
      <c r="G32" s="459">
        <v>4.4000000000000004</v>
      </c>
      <c r="H32" s="74"/>
      <c r="I32" s="74"/>
      <c r="J32" s="74"/>
      <c r="K32" s="74"/>
    </row>
    <row r="33" spans="1:11" ht="14">
      <c r="A33" s="238">
        <v>2018</v>
      </c>
      <c r="B33" s="247" t="s">
        <v>231</v>
      </c>
      <c r="C33" s="451">
        <f t="shared" si="1"/>
        <v>263.35000000000002</v>
      </c>
      <c r="D33" s="451">
        <v>79.95</v>
      </c>
      <c r="E33" s="451">
        <v>21.92</v>
      </c>
      <c r="F33" s="467">
        <v>161.47999999999999</v>
      </c>
      <c r="G33" s="451">
        <v>5.13</v>
      </c>
      <c r="H33" s="74"/>
      <c r="I33" s="74"/>
      <c r="J33" s="74"/>
      <c r="K33" s="74"/>
    </row>
    <row r="34" spans="1:11" ht="14">
      <c r="A34" s="239"/>
      <c r="B34" s="251" t="s">
        <v>232</v>
      </c>
      <c r="C34" s="455">
        <f t="shared" si="1"/>
        <v>279.08000000000004</v>
      </c>
      <c r="D34" s="455">
        <v>60.29</v>
      </c>
      <c r="E34" s="455">
        <v>63.39</v>
      </c>
      <c r="F34" s="465">
        <v>155.4</v>
      </c>
      <c r="G34" s="455">
        <v>5.18</v>
      </c>
      <c r="H34" s="74"/>
      <c r="I34" s="74"/>
      <c r="J34" s="74"/>
      <c r="K34" s="74"/>
    </row>
    <row r="35" spans="1:11" ht="14">
      <c r="A35" s="239"/>
      <c r="B35" s="273" t="s">
        <v>233</v>
      </c>
      <c r="C35" s="455">
        <f t="shared" si="1"/>
        <v>316.99</v>
      </c>
      <c r="D35" s="455">
        <v>79.63</v>
      </c>
      <c r="E35" s="455">
        <v>91.79</v>
      </c>
      <c r="F35" s="465">
        <v>145.57</v>
      </c>
      <c r="G35" s="455">
        <v>5.85</v>
      </c>
      <c r="H35" s="74"/>
      <c r="I35" s="74"/>
      <c r="J35" s="74"/>
      <c r="K35" s="74"/>
    </row>
    <row r="36" spans="1:11" ht="14">
      <c r="A36" s="240"/>
      <c r="B36" s="274" t="s">
        <v>234</v>
      </c>
      <c r="C36" s="459">
        <f t="shared" si="1"/>
        <v>312.39999999999998</v>
      </c>
      <c r="D36" s="459">
        <v>58.89</v>
      </c>
      <c r="E36" s="459">
        <v>67.87</v>
      </c>
      <c r="F36" s="466">
        <v>185.64</v>
      </c>
      <c r="G36" s="459">
        <v>5.71</v>
      </c>
      <c r="H36" s="74"/>
      <c r="I36" s="74"/>
      <c r="J36" s="74"/>
      <c r="K36" s="74"/>
    </row>
    <row r="37" spans="1:11" ht="14">
      <c r="A37" s="238">
        <v>2019</v>
      </c>
      <c r="B37" s="272" t="s">
        <v>231</v>
      </c>
      <c r="C37" s="451">
        <f t="shared" si="1"/>
        <v>275.3</v>
      </c>
      <c r="D37" s="451">
        <v>63.56</v>
      </c>
      <c r="E37" s="451">
        <v>38.42</v>
      </c>
      <c r="F37" s="467">
        <v>173.32</v>
      </c>
      <c r="G37" s="451">
        <v>5.08</v>
      </c>
      <c r="H37" s="74"/>
      <c r="I37" s="74"/>
      <c r="J37" s="74"/>
      <c r="K37" s="74"/>
    </row>
    <row r="38" spans="1:11" ht="14">
      <c r="A38" s="239"/>
      <c r="B38" s="251" t="s">
        <v>232</v>
      </c>
      <c r="C38" s="455">
        <f t="shared" si="1"/>
        <v>289.89</v>
      </c>
      <c r="D38" s="455">
        <v>72.349999999999994</v>
      </c>
      <c r="E38" s="455">
        <v>36.06</v>
      </c>
      <c r="F38" s="465">
        <v>181.48</v>
      </c>
      <c r="G38" s="455">
        <v>5.27</v>
      </c>
      <c r="H38" s="74"/>
      <c r="I38" s="74"/>
      <c r="J38" s="74"/>
      <c r="K38" s="74"/>
    </row>
    <row r="39" spans="1:11" ht="14">
      <c r="A39" s="239"/>
      <c r="B39" s="273" t="s">
        <v>233</v>
      </c>
      <c r="C39" s="455">
        <f t="shared" si="1"/>
        <v>282.47000000000003</v>
      </c>
      <c r="D39" s="455">
        <v>48.51</v>
      </c>
      <c r="E39" s="455">
        <v>60.35</v>
      </c>
      <c r="F39" s="455">
        <v>173.61</v>
      </c>
      <c r="G39" s="455">
        <v>4.84</v>
      </c>
      <c r="H39" s="74"/>
      <c r="I39" s="74"/>
      <c r="J39" s="74"/>
      <c r="K39" s="74"/>
    </row>
    <row r="40" spans="1:11" ht="14">
      <c r="A40" s="240"/>
      <c r="B40" s="274" t="s">
        <v>234</v>
      </c>
      <c r="C40" s="459">
        <f t="shared" si="1"/>
        <v>273.37</v>
      </c>
      <c r="D40" s="459">
        <v>48.08</v>
      </c>
      <c r="E40" s="459">
        <v>61.97</v>
      </c>
      <c r="F40" s="459">
        <v>163.32</v>
      </c>
      <c r="G40" s="322">
        <v>4.6399999999999997</v>
      </c>
      <c r="H40" s="74"/>
      <c r="I40" s="74"/>
      <c r="J40" s="74"/>
      <c r="K40" s="74"/>
    </row>
    <row r="41" spans="1:11" ht="12.75" customHeight="1">
      <c r="A41" s="238">
        <v>2020</v>
      </c>
      <c r="B41" s="247" t="s">
        <v>231</v>
      </c>
      <c r="C41" s="451">
        <f t="shared" si="1"/>
        <v>262.91416486079117</v>
      </c>
      <c r="D41" s="451">
        <v>45.003254649460168</v>
      </c>
      <c r="E41" s="451">
        <v>60.124793544492007</v>
      </c>
      <c r="F41" s="451">
        <v>157.78611666683901</v>
      </c>
      <c r="G41" s="468">
        <v>4.3747004227587816</v>
      </c>
      <c r="H41" s="74"/>
      <c r="I41" s="74"/>
      <c r="J41" s="74"/>
      <c r="K41" s="74"/>
    </row>
    <row r="42" spans="1:11" ht="12.75" customHeight="1">
      <c r="A42" s="239"/>
      <c r="B42" s="251" t="s">
        <v>232</v>
      </c>
      <c r="C42" s="455">
        <f t="shared" si="1"/>
        <v>253.48345427801553</v>
      </c>
      <c r="D42" s="455">
        <v>40.587353410683455</v>
      </c>
      <c r="E42" s="455">
        <v>29.951022955720283</v>
      </c>
      <c r="F42" s="455">
        <v>182.9450779116118</v>
      </c>
      <c r="G42" s="469">
        <v>4.3099999999999996</v>
      </c>
      <c r="H42" s="74"/>
      <c r="I42" s="74"/>
      <c r="J42" s="74"/>
      <c r="K42" s="74"/>
    </row>
    <row r="43" spans="1:11" ht="12.75" customHeight="1">
      <c r="A43" s="239"/>
      <c r="B43" s="251" t="s">
        <v>233</v>
      </c>
      <c r="C43" s="455">
        <f t="shared" si="1"/>
        <v>253.19688899601692</v>
      </c>
      <c r="D43" s="455">
        <v>42.735826328777499</v>
      </c>
      <c r="E43" s="455">
        <v>25.687698626191398</v>
      </c>
      <c r="F43" s="455">
        <v>184.77336404104801</v>
      </c>
      <c r="G43" s="469">
        <v>4.3499999999999996</v>
      </c>
      <c r="H43" s="74"/>
      <c r="I43" s="74"/>
      <c r="J43" s="74"/>
      <c r="K43" s="74"/>
    </row>
    <row r="44" spans="1:11" ht="12.75" customHeight="1">
      <c r="A44" s="240"/>
      <c r="B44" s="252" t="s">
        <v>234</v>
      </c>
      <c r="C44" s="459">
        <f t="shared" si="1"/>
        <v>273.75483549405419</v>
      </c>
      <c r="D44" s="459">
        <v>43.738672057660402</v>
      </c>
      <c r="E44" s="459">
        <v>23.397973439123799</v>
      </c>
      <c r="F44" s="459">
        <v>206.61818999727001</v>
      </c>
      <c r="G44" s="322">
        <v>4.7003891426411304</v>
      </c>
      <c r="H44" s="74"/>
      <c r="I44" s="74"/>
      <c r="J44" s="74"/>
      <c r="K44" s="74"/>
    </row>
    <row r="45" spans="1:11" ht="15.5" customHeight="1">
      <c r="A45" s="238">
        <v>2021</v>
      </c>
      <c r="B45" s="247" t="s">
        <v>231</v>
      </c>
      <c r="C45" s="470">
        <f t="shared" si="1"/>
        <v>264.48713476423711</v>
      </c>
      <c r="D45" s="470">
        <v>41.440698396447836</v>
      </c>
      <c r="E45" s="470">
        <v>27.307789230118392</v>
      </c>
      <c r="F45" s="470">
        <v>195.73864713767088</v>
      </c>
      <c r="G45" s="471">
        <v>4.5369090484919417</v>
      </c>
      <c r="H45" s="74"/>
      <c r="I45" s="74"/>
      <c r="J45" s="74"/>
      <c r="K45" s="74"/>
    </row>
    <row r="46" spans="1:11" ht="46.5" customHeight="1">
      <c r="A46" s="448"/>
      <c r="B46" s="251"/>
      <c r="C46" s="108"/>
      <c r="D46" s="472" t="s">
        <v>241</v>
      </c>
      <c r="E46" s="473" t="s">
        <v>242</v>
      </c>
      <c r="F46" s="473" t="s">
        <v>243</v>
      </c>
      <c r="G46" s="109"/>
      <c r="H46" s="74"/>
      <c r="I46" s="74"/>
      <c r="J46" s="74"/>
      <c r="K46" s="74"/>
    </row>
    <row r="47" spans="1:11" ht="12.75" customHeight="1">
      <c r="A47" s="448"/>
      <c r="B47" s="251" t="s">
        <v>232</v>
      </c>
      <c r="C47" s="451">
        <f t="shared" si="1"/>
        <v>241.08668981396613</v>
      </c>
      <c r="D47" s="451">
        <v>92.269663470713837</v>
      </c>
      <c r="E47" s="451">
        <v>17.576385794361915</v>
      </c>
      <c r="F47" s="451">
        <v>131.24064054889038</v>
      </c>
      <c r="G47" s="468">
        <v>3.9286027506768177</v>
      </c>
      <c r="H47" s="74"/>
      <c r="I47" s="74"/>
      <c r="J47" s="74"/>
      <c r="K47" s="74"/>
    </row>
    <row r="48" spans="1:11" ht="12.75" customHeight="1">
      <c r="A48" s="449"/>
      <c r="B48" s="251" t="s">
        <v>233</v>
      </c>
      <c r="C48" s="455">
        <f t="shared" si="1"/>
        <v>222.67251689640335</v>
      </c>
      <c r="D48" s="455">
        <v>75.676569459107299</v>
      </c>
      <c r="E48" s="455">
        <v>29.97118792157233</v>
      </c>
      <c r="F48" s="455">
        <v>117.02475951572374</v>
      </c>
      <c r="G48" s="469">
        <v>3.6368068734870294</v>
      </c>
      <c r="H48" s="74"/>
      <c r="I48" s="74"/>
      <c r="J48" s="74"/>
      <c r="K48" s="74"/>
    </row>
    <row r="49" spans="1:11" ht="12.75" customHeight="1">
      <c r="A49" s="450"/>
      <c r="B49" s="252" t="s">
        <v>234</v>
      </c>
      <c r="C49" s="459">
        <f t="shared" si="1"/>
        <v>224.64680501952529</v>
      </c>
      <c r="D49" s="459">
        <v>86.710525378092797</v>
      </c>
      <c r="E49" s="459">
        <v>17.734225735970501</v>
      </c>
      <c r="F49" s="459">
        <v>120.20205390546199</v>
      </c>
      <c r="G49" s="322">
        <v>3.5990409864850714</v>
      </c>
      <c r="H49" s="74"/>
      <c r="I49" s="74"/>
      <c r="J49" s="74"/>
      <c r="K49" s="74"/>
    </row>
    <row r="50" spans="1:11" ht="12.75" customHeight="1">
      <c r="A50" s="238">
        <v>2022</v>
      </c>
      <c r="B50" s="247" t="s">
        <v>231</v>
      </c>
      <c r="C50" s="451">
        <f t="shared" si="1"/>
        <v>213.41571375184452</v>
      </c>
      <c r="D50" s="451">
        <v>67.065980044061007</v>
      </c>
      <c r="E50" s="451">
        <v>24.058565820430498</v>
      </c>
      <c r="F50" s="451">
        <v>122.291167887353</v>
      </c>
      <c r="G50" s="468">
        <v>3.3496044424356799</v>
      </c>
      <c r="H50" s="74"/>
      <c r="I50" s="74"/>
      <c r="J50" s="74"/>
      <c r="K50" s="74"/>
    </row>
    <row r="51" spans="1:11" ht="12.75" customHeight="1">
      <c r="A51" s="239"/>
      <c r="B51" s="251" t="s">
        <v>232</v>
      </c>
      <c r="C51" s="455">
        <f t="shared" si="1"/>
        <v>232.86044125598141</v>
      </c>
      <c r="D51" s="455">
        <v>100.2442577491707</v>
      </c>
      <c r="E51" s="455">
        <v>14.606904627045925</v>
      </c>
      <c r="F51" s="455">
        <v>118.00927887976478</v>
      </c>
      <c r="G51" s="469">
        <v>3.6208271513294719</v>
      </c>
      <c r="H51" s="74"/>
      <c r="I51" s="74"/>
      <c r="J51" s="74"/>
      <c r="K51" s="74"/>
    </row>
    <row r="52" spans="1:11" ht="12.75" customHeight="1">
      <c r="A52" s="239"/>
      <c r="B52" s="251" t="s">
        <v>233</v>
      </c>
      <c r="C52" s="455">
        <f t="shared" si="1"/>
        <v>219.65327752610744</v>
      </c>
      <c r="D52" s="455">
        <v>107.53775870907357</v>
      </c>
      <c r="E52" s="455">
        <v>9.38311690912216</v>
      </c>
      <c r="F52" s="455">
        <v>102.73240190791169</v>
      </c>
      <c r="G52" s="469">
        <v>3.3062114874412476</v>
      </c>
      <c r="H52" s="74"/>
      <c r="I52" s="74"/>
      <c r="J52" s="74"/>
      <c r="K52" s="74"/>
    </row>
    <row r="53" spans="1:11" ht="12.75" customHeight="1">
      <c r="A53" s="240"/>
      <c r="B53" s="252" t="s">
        <v>234</v>
      </c>
      <c r="C53" s="459">
        <f t="shared" si="1"/>
        <v>217.72748164552286</v>
      </c>
      <c r="D53" s="459">
        <v>118.519633402144</v>
      </c>
      <c r="E53" s="459">
        <v>8.6699545843933699</v>
      </c>
      <c r="F53" s="459">
        <v>90.537893658985496</v>
      </c>
      <c r="G53" s="322">
        <v>3.3413202701551037</v>
      </c>
      <c r="H53" s="74"/>
      <c r="I53" s="74"/>
      <c r="J53" s="74"/>
      <c r="K53" s="74"/>
    </row>
    <row r="54" spans="1:11" ht="12.75" customHeight="1">
      <c r="A54" s="238">
        <v>2023</v>
      </c>
      <c r="B54" s="247" t="s">
        <v>231</v>
      </c>
      <c r="C54" s="451">
        <f t="shared" si="1"/>
        <v>204.68476892510222</v>
      </c>
      <c r="D54" s="451">
        <v>99.585163005541702</v>
      </c>
      <c r="E54" s="451">
        <v>14.448955454797</v>
      </c>
      <c r="F54" s="451">
        <v>90.650650464763501</v>
      </c>
      <c r="G54" s="468">
        <v>3.1540796302598464</v>
      </c>
      <c r="H54" s="74"/>
      <c r="I54" s="74"/>
      <c r="J54" s="74"/>
      <c r="K54" s="74"/>
    </row>
    <row r="55" spans="1:11" ht="12.75" customHeight="1">
      <c r="A55" s="239"/>
      <c r="B55" s="251" t="s">
        <v>232</v>
      </c>
      <c r="C55" s="455">
        <f t="shared" si="1"/>
        <v>195.0955729130319</v>
      </c>
      <c r="D55" s="455">
        <v>94.520615358224006</v>
      </c>
      <c r="E55" s="455">
        <v>20.986895732834</v>
      </c>
      <c r="F55" s="455">
        <v>79.588061821973895</v>
      </c>
      <c r="G55" s="469">
        <v>2.870572826003202</v>
      </c>
      <c r="H55" s="74"/>
      <c r="I55" s="74"/>
      <c r="J55" s="74"/>
      <c r="K55" s="74"/>
    </row>
    <row r="56" spans="1:11" ht="12.75" customHeight="1">
      <c r="A56" s="239"/>
      <c r="B56" s="251" t="s">
        <v>233</v>
      </c>
      <c r="C56" s="455">
        <f t="shared" si="1"/>
        <v>181.92989747162704</v>
      </c>
      <c r="D56" s="455">
        <v>95.336902621269502</v>
      </c>
      <c r="E56" s="455">
        <v>7.5817445090905498</v>
      </c>
      <c r="F56" s="455">
        <v>79.011250341267001</v>
      </c>
      <c r="G56" s="469">
        <v>2.5894895066217467</v>
      </c>
      <c r="H56" s="74"/>
      <c r="I56" s="74"/>
      <c r="J56" s="74"/>
      <c r="K56" s="74"/>
    </row>
    <row r="57" spans="1:11" ht="12.75" customHeight="1">
      <c r="A57" s="240"/>
      <c r="B57" s="252" t="s">
        <v>234</v>
      </c>
      <c r="C57" s="459">
        <f t="shared" si="1"/>
        <v>188.33295470242319</v>
      </c>
      <c r="D57" s="459">
        <v>110.66624079427601</v>
      </c>
      <c r="E57" s="459">
        <v>9.2051659605958704</v>
      </c>
      <c r="F57" s="459">
        <v>68.461547947551296</v>
      </c>
      <c r="G57" s="322">
        <v>2.5909872048496325</v>
      </c>
      <c r="H57" s="74"/>
      <c r="I57" s="74"/>
      <c r="J57" s="74"/>
      <c r="K57" s="74"/>
    </row>
    <row r="58" spans="1:11" ht="12.75" customHeight="1">
      <c r="A58" s="238">
        <v>2024</v>
      </c>
      <c r="B58" s="247" t="s">
        <v>231</v>
      </c>
      <c r="C58" s="451">
        <f t="shared" si="1"/>
        <v>182.46175981436988</v>
      </c>
      <c r="D58" s="451">
        <v>103.74929048073299</v>
      </c>
      <c r="E58" s="451">
        <v>10.107372371716</v>
      </c>
      <c r="F58" s="451">
        <v>68.605096961920907</v>
      </c>
      <c r="G58" s="468">
        <v>2.4823702101721397</v>
      </c>
      <c r="H58" s="74"/>
      <c r="I58" s="74"/>
      <c r="J58" s="74"/>
      <c r="K58" s="74"/>
    </row>
    <row r="59" spans="1:11" ht="12.75" customHeight="1">
      <c r="A59" s="239"/>
      <c r="B59" s="251" t="s">
        <v>232</v>
      </c>
      <c r="C59" s="455">
        <f t="shared" si="1"/>
        <v>180.93628102749022</v>
      </c>
      <c r="D59" s="455">
        <v>101.21270083224201</v>
      </c>
      <c r="E59" s="455">
        <v>13.200363350636501</v>
      </c>
      <c r="F59" s="455">
        <v>66.523216844611696</v>
      </c>
      <c r="G59" s="469">
        <v>2.3665070249237674</v>
      </c>
      <c r="H59" s="74"/>
      <c r="I59" s="74"/>
      <c r="J59" s="74"/>
      <c r="K59" s="74"/>
    </row>
    <row r="60" spans="1:11" ht="12.75" customHeight="1">
      <c r="A60" s="239"/>
      <c r="B60" s="251" t="s">
        <v>233</v>
      </c>
      <c r="C60" s="455">
        <f t="shared" si="1"/>
        <v>173.9477534184976</v>
      </c>
      <c r="D60" s="455">
        <v>80.265253027661998</v>
      </c>
      <c r="E60" s="455">
        <v>25.5481549769884</v>
      </c>
      <c r="F60" s="455">
        <v>68.1343454138472</v>
      </c>
      <c r="G60" s="469">
        <v>2.2726097375352463</v>
      </c>
      <c r="H60" s="74"/>
      <c r="I60" s="74"/>
      <c r="J60" s="74"/>
      <c r="K60" s="74"/>
    </row>
    <row r="61" spans="1:11" ht="12.75" customHeight="1">
      <c r="A61" s="239"/>
      <c r="B61" s="251" t="s">
        <v>234</v>
      </c>
      <c r="C61" s="455">
        <f t="shared" si="1"/>
        <v>158.7421024935021</v>
      </c>
      <c r="D61" s="455">
        <v>70.258808889600104</v>
      </c>
      <c r="E61" s="455">
        <v>21.422172864581899</v>
      </c>
      <c r="F61" s="455">
        <v>67.061120739320103</v>
      </c>
      <c r="G61" s="469">
        <v>2.0022189478347037</v>
      </c>
      <c r="H61" s="74"/>
      <c r="I61" s="74"/>
      <c r="J61" s="74"/>
      <c r="K61" s="74"/>
    </row>
    <row r="62" spans="1:11" ht="15.65" customHeight="1">
      <c r="A62" s="238">
        <v>2025</v>
      </c>
      <c r="B62" s="272" t="s">
        <v>231</v>
      </c>
      <c r="C62" s="451">
        <f t="shared" si="1"/>
        <v>163.50090372799809</v>
      </c>
      <c r="D62" s="451">
        <v>53.072221609801097</v>
      </c>
      <c r="E62" s="451">
        <v>42.3746761968521</v>
      </c>
      <c r="F62" s="451">
        <v>68.054005921344896</v>
      </c>
      <c r="G62" s="468">
        <v>2.0223009913309626</v>
      </c>
      <c r="H62" s="74"/>
      <c r="I62" s="74"/>
      <c r="J62" s="74"/>
      <c r="K62" s="74"/>
    </row>
    <row r="63" spans="1:11" ht="15.65" customHeight="1">
      <c r="A63" s="239"/>
      <c r="B63" s="273" t="s">
        <v>232</v>
      </c>
      <c r="C63" s="455">
        <f t="shared" si="1"/>
        <v>160.43870144785521</v>
      </c>
      <c r="D63" s="455">
        <v>42.428972440773201</v>
      </c>
      <c r="E63" s="455">
        <v>47.767188253611401</v>
      </c>
      <c r="F63" s="455">
        <v>70.242540753470607</v>
      </c>
      <c r="G63" s="469">
        <v>1.9090124360818059</v>
      </c>
      <c r="H63" s="74"/>
      <c r="I63" s="74"/>
      <c r="J63" s="74"/>
      <c r="K63" s="74"/>
    </row>
    <row r="64" spans="1:11" ht="15.65" customHeight="1">
      <c r="A64" s="239"/>
      <c r="B64" s="273" t="s">
        <v>233</v>
      </c>
      <c r="C64" s="455">
        <f t="shared" si="1"/>
        <v>163.7043925545521</v>
      </c>
      <c r="D64" s="455">
        <v>40.499608250943197</v>
      </c>
      <c r="E64" s="455">
        <v>55.732918573684401</v>
      </c>
      <c r="F64" s="455">
        <v>67.471865729924502</v>
      </c>
      <c r="G64" s="469">
        <v>1.889197115011449</v>
      </c>
      <c r="H64" s="74"/>
      <c r="I64" s="74"/>
      <c r="J64" s="74"/>
      <c r="K64" s="74"/>
    </row>
    <row r="65" spans="1:11" ht="15.65" customHeight="1">
      <c r="A65" s="240"/>
      <c r="B65" s="274" t="s">
        <v>234</v>
      </c>
      <c r="C65" s="459">
        <f t="shared" si="1"/>
        <v>149.55454314468511</v>
      </c>
      <c r="D65" s="459">
        <v>37.068905531233803</v>
      </c>
      <c r="E65" s="459">
        <v>12.144534884884299</v>
      </c>
      <c r="F65" s="459">
        <v>100.34110272856699</v>
      </c>
      <c r="G65" s="322">
        <v>1.652569780409836</v>
      </c>
      <c r="H65" s="74"/>
      <c r="I65" s="74"/>
      <c r="J65" s="74"/>
      <c r="K65" s="74"/>
    </row>
    <row r="66" spans="1:11" ht="15.65" customHeight="1">
      <c r="A66" s="675">
        <v>2026</v>
      </c>
      <c r="B66" s="676" t="s">
        <v>231</v>
      </c>
      <c r="C66" s="470">
        <f t="shared" si="1"/>
        <v>144.78316813103743</v>
      </c>
      <c r="D66" s="470">
        <v>57.195255998124004</v>
      </c>
      <c r="E66" s="470">
        <v>12.355918732804767</v>
      </c>
      <c r="F66" s="470">
        <v>75.231993400108664</v>
      </c>
      <c r="G66" s="471">
        <v>1.6031610842109967</v>
      </c>
      <c r="H66" s="74"/>
      <c r="I66" s="74"/>
      <c r="J66" s="74"/>
      <c r="K66" s="74"/>
    </row>
    <row r="67" spans="1:11" ht="13" customHeight="1">
      <c r="C67" s="71"/>
      <c r="D67" s="71"/>
      <c r="E67" s="71"/>
      <c r="F67" s="71"/>
      <c r="G67" s="71"/>
      <c r="I67" s="74"/>
    </row>
    <row r="68" spans="1:11" ht="13" customHeight="1">
      <c r="A68" s="171" t="s">
        <v>195</v>
      </c>
      <c r="B68" s="171"/>
      <c r="C68" s="171"/>
      <c r="D68" s="171"/>
      <c r="E68" s="171"/>
      <c r="F68" s="171"/>
      <c r="G68" s="171"/>
    </row>
    <row r="69" spans="1:11">
      <c r="A69" s="171"/>
      <c r="B69" s="171"/>
      <c r="C69" s="171"/>
      <c r="D69" s="184"/>
      <c r="E69" s="184"/>
      <c r="F69" s="184"/>
      <c r="G69" s="184"/>
      <c r="H69" s="71"/>
    </row>
    <row r="70" spans="1:11">
      <c r="A70" s="161" t="s">
        <v>244</v>
      </c>
      <c r="B70" s="171"/>
      <c r="C70" s="171"/>
      <c r="D70" s="184"/>
      <c r="E70" s="184"/>
      <c r="F70" s="184"/>
      <c r="G70" s="184"/>
    </row>
    <row r="71" spans="1:11">
      <c r="A71" s="161" t="s">
        <v>245</v>
      </c>
      <c r="B71" s="171"/>
      <c r="C71" s="171"/>
      <c r="D71" s="184"/>
      <c r="E71" s="184"/>
      <c r="F71" s="184"/>
      <c r="G71" s="184"/>
    </row>
    <row r="72" spans="1:11" ht="133.5" customHeight="1">
      <c r="A72" s="790" t="s">
        <v>246</v>
      </c>
      <c r="B72" s="790"/>
      <c r="C72" s="790"/>
      <c r="D72" s="790"/>
      <c r="E72" s="790"/>
      <c r="F72" s="790"/>
      <c r="G72" s="790"/>
    </row>
    <row r="73" spans="1:11" ht="45.65" customHeight="1">
      <c r="A73" s="790" t="s">
        <v>247</v>
      </c>
      <c r="B73" s="790"/>
      <c r="C73" s="790"/>
      <c r="D73" s="790"/>
      <c r="E73" s="790"/>
      <c r="F73" s="790"/>
      <c r="G73" s="790"/>
    </row>
    <row r="74" spans="1:11" ht="13" customHeight="1">
      <c r="D74" s="74"/>
      <c r="E74" s="74"/>
      <c r="F74" s="74"/>
      <c r="G74" s="74"/>
    </row>
    <row r="75" spans="1:11">
      <c r="D75" s="74"/>
      <c r="E75" s="74"/>
      <c r="F75" s="74"/>
      <c r="G75" s="74"/>
    </row>
  </sheetData>
  <sheetProtection sheet="1" formatCells="0" insertColumns="0" insertRows="0" deleteColumns="0" deleteRows="0"/>
  <mergeCells count="7">
    <mergeCell ref="A73:G73"/>
    <mergeCell ref="A1:G1"/>
    <mergeCell ref="A2:F2"/>
    <mergeCell ref="A72:G72"/>
    <mergeCell ref="A3:B4"/>
    <mergeCell ref="C3:F3"/>
    <mergeCell ref="G3:G4"/>
  </mergeCells>
  <printOptions horizontalCentered="1"/>
  <pageMargins left="0.67" right="0.84" top="1.31"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72"/>
  <sheetViews>
    <sheetView zoomScaleNormal="100" workbookViewId="0">
      <pane xSplit="2" ySplit="5" topLeftCell="C47" activePane="bottomRight" state="frozen"/>
      <selection pane="topRight" activeCell="G153" sqref="G153"/>
      <selection pane="bottomLeft" activeCell="G153" sqref="G153"/>
      <selection pane="bottomRight" activeCell="C66" sqref="C66"/>
    </sheetView>
  </sheetViews>
  <sheetFormatPr defaultColWidth="9.1796875" defaultRowHeight="13"/>
  <cols>
    <col min="1" max="1" width="6.81640625" style="65" customWidth="1"/>
    <col min="2" max="2" width="7" style="65" customWidth="1"/>
    <col min="3" max="3" width="8.453125" style="65" customWidth="1"/>
    <col min="4" max="4" width="10" style="65" customWidth="1"/>
    <col min="5" max="5" width="11.453125" style="65" customWidth="1"/>
    <col min="6" max="6" width="9" style="65" customWidth="1"/>
    <col min="7" max="7" width="10.90625" style="65" customWidth="1"/>
    <col min="8" max="8" width="7.453125" style="65" customWidth="1"/>
    <col min="9" max="9" width="6.54296875" style="65" customWidth="1"/>
    <col min="10" max="10" width="8.453125" style="65" bestFit="1" customWidth="1"/>
    <col min="11" max="11" width="7.1796875" style="65" customWidth="1"/>
    <col min="12" max="14" width="8.453125" style="65" bestFit="1" customWidth="1"/>
    <col min="15" max="15" width="8.90625" style="65" customWidth="1"/>
    <col min="16" max="16" width="8.453125" style="65" bestFit="1" customWidth="1"/>
    <col min="17" max="16384" width="9.1796875" style="65"/>
  </cols>
  <sheetData>
    <row r="1" spans="1:31" s="70" customFormat="1" ht="15.5">
      <c r="A1" s="709" t="s">
        <v>248</v>
      </c>
      <c r="B1" s="709"/>
      <c r="C1" s="709"/>
      <c r="D1" s="709"/>
      <c r="E1" s="709"/>
      <c r="F1" s="709"/>
      <c r="G1" s="709"/>
      <c r="H1" s="709"/>
      <c r="I1" s="709"/>
      <c r="J1" s="709"/>
      <c r="K1" s="709"/>
      <c r="L1" s="709"/>
      <c r="M1" s="709"/>
      <c r="N1" s="709"/>
      <c r="O1" s="709"/>
      <c r="P1" s="709"/>
    </row>
    <row r="2" spans="1:31">
      <c r="U2" s="791"/>
      <c r="V2" s="791"/>
      <c r="W2" s="791"/>
      <c r="X2" s="791"/>
      <c r="Y2" s="791"/>
      <c r="Z2" s="791"/>
      <c r="AA2" s="791"/>
    </row>
    <row r="3" spans="1:31" ht="14">
      <c r="A3" s="760" t="s">
        <v>249</v>
      </c>
      <c r="B3" s="760"/>
      <c r="C3" s="760"/>
      <c r="D3" s="760"/>
      <c r="E3" s="760"/>
      <c r="F3" s="760"/>
      <c r="G3" s="760"/>
      <c r="H3" s="760"/>
      <c r="I3" s="760"/>
      <c r="J3" s="760"/>
      <c r="K3" s="760"/>
      <c r="L3" s="760"/>
      <c r="M3" s="760"/>
      <c r="N3" s="760"/>
      <c r="O3" s="760"/>
      <c r="P3" s="760"/>
    </row>
    <row r="4" spans="1:31" s="105" customFormat="1" ht="22.5" customHeight="1">
      <c r="A4" s="792" t="s">
        <v>98</v>
      </c>
      <c r="B4" s="793"/>
      <c r="C4" s="723" t="s">
        <v>250</v>
      </c>
      <c r="D4" s="724"/>
      <c r="E4" s="725"/>
      <c r="F4" s="723" t="s">
        <v>251</v>
      </c>
      <c r="G4" s="724"/>
      <c r="H4" s="725"/>
      <c r="I4" s="723" t="s">
        <v>252</v>
      </c>
      <c r="J4" s="724"/>
      <c r="K4" s="724"/>
      <c r="L4" s="725"/>
      <c r="M4" s="723" t="s">
        <v>253</v>
      </c>
      <c r="N4" s="724"/>
      <c r="O4" s="724"/>
      <c r="P4" s="725"/>
    </row>
    <row r="5" spans="1:31" s="105" customFormat="1" ht="160.5" customHeight="1">
      <c r="A5" s="784"/>
      <c r="B5" s="794"/>
      <c r="C5" s="474" t="s">
        <v>254</v>
      </c>
      <c r="D5" s="474" t="s">
        <v>255</v>
      </c>
      <c r="E5" s="474" t="s">
        <v>256</v>
      </c>
      <c r="F5" s="474" t="s">
        <v>257</v>
      </c>
      <c r="G5" s="474" t="s">
        <v>258</v>
      </c>
      <c r="H5" s="474" t="s">
        <v>259</v>
      </c>
      <c r="I5" s="474" t="s">
        <v>260</v>
      </c>
      <c r="J5" s="474" t="s">
        <v>261</v>
      </c>
      <c r="K5" s="474" t="s">
        <v>262</v>
      </c>
      <c r="L5" s="474" t="s">
        <v>263</v>
      </c>
      <c r="M5" s="474" t="s">
        <v>264</v>
      </c>
      <c r="N5" s="474" t="s">
        <v>265</v>
      </c>
      <c r="O5" s="474" t="s">
        <v>266</v>
      </c>
      <c r="P5" s="474" t="s">
        <v>267</v>
      </c>
    </row>
    <row r="6" spans="1:31" s="105" customFormat="1" ht="14">
      <c r="A6" s="238">
        <v>2011</v>
      </c>
      <c r="B6" s="247" t="s">
        <v>231</v>
      </c>
      <c r="C6" s="475">
        <v>19.21</v>
      </c>
      <c r="D6" s="476">
        <v>19.75</v>
      </c>
      <c r="E6" s="477">
        <v>22.95</v>
      </c>
      <c r="F6" s="476">
        <v>13.77</v>
      </c>
      <c r="G6" s="477">
        <v>8</v>
      </c>
      <c r="H6" s="476">
        <v>41.91</v>
      </c>
      <c r="I6" s="477">
        <v>1.31</v>
      </c>
      <c r="J6" s="476">
        <v>11.16</v>
      </c>
      <c r="K6" s="477">
        <v>73.16</v>
      </c>
      <c r="L6" s="476">
        <v>46.3</v>
      </c>
      <c r="M6" s="477">
        <v>59.97</v>
      </c>
      <c r="N6" s="476">
        <v>68.040000000000006</v>
      </c>
      <c r="O6" s="477">
        <v>147.11000000000001</v>
      </c>
      <c r="P6" s="476">
        <v>32.479999999999997</v>
      </c>
      <c r="Q6" s="110"/>
      <c r="R6" s="110"/>
      <c r="S6" s="110"/>
      <c r="T6" s="110"/>
      <c r="U6" s="110"/>
      <c r="V6" s="110"/>
      <c r="W6" s="110"/>
      <c r="X6" s="110"/>
      <c r="Y6" s="110"/>
      <c r="Z6" s="110"/>
      <c r="AA6" s="110"/>
      <c r="AB6" s="110"/>
      <c r="AC6" s="110"/>
      <c r="AD6" s="110"/>
      <c r="AE6" s="110"/>
    </row>
    <row r="7" spans="1:31" s="105" customFormat="1" ht="14">
      <c r="A7" s="239"/>
      <c r="B7" s="251" t="s">
        <v>232</v>
      </c>
      <c r="C7" s="478">
        <v>20.12</v>
      </c>
      <c r="D7" s="479">
        <v>20.399999999999999</v>
      </c>
      <c r="E7" s="480">
        <v>8.43</v>
      </c>
      <c r="F7" s="479">
        <v>9.61</v>
      </c>
      <c r="G7" s="480">
        <v>3.28</v>
      </c>
      <c r="H7" s="479">
        <v>65.92</v>
      </c>
      <c r="I7" s="480">
        <v>1.43</v>
      </c>
      <c r="J7" s="479">
        <v>12.48</v>
      </c>
      <c r="K7" s="480">
        <v>73.099999999999994</v>
      </c>
      <c r="L7" s="479">
        <v>44.52</v>
      </c>
      <c r="M7" s="480">
        <v>62.62</v>
      </c>
      <c r="N7" s="479">
        <v>70.989999999999995</v>
      </c>
      <c r="O7" s="480">
        <v>159.63999999999999</v>
      </c>
      <c r="P7" s="479">
        <v>28.85</v>
      </c>
      <c r="Q7" s="110"/>
      <c r="R7" s="110"/>
      <c r="S7" s="110"/>
      <c r="T7" s="110"/>
      <c r="U7" s="110"/>
      <c r="V7" s="110"/>
      <c r="W7" s="110"/>
      <c r="X7" s="110"/>
      <c r="Y7" s="110"/>
      <c r="Z7" s="110"/>
      <c r="AA7" s="110"/>
      <c r="AB7" s="110"/>
      <c r="AC7" s="110"/>
      <c r="AD7" s="110"/>
    </row>
    <row r="8" spans="1:31" s="105" customFormat="1" ht="14">
      <c r="A8" s="239"/>
      <c r="B8" s="251" t="s">
        <v>233</v>
      </c>
      <c r="C8" s="478">
        <v>19.37</v>
      </c>
      <c r="D8" s="479">
        <v>19.95</v>
      </c>
      <c r="E8" s="480">
        <v>7.15</v>
      </c>
      <c r="F8" s="479">
        <v>8.9700000000000006</v>
      </c>
      <c r="G8" s="480">
        <v>2.73</v>
      </c>
      <c r="H8" s="479">
        <v>69.599999999999994</v>
      </c>
      <c r="I8" s="480">
        <v>1.18</v>
      </c>
      <c r="J8" s="479">
        <v>8.4499999999999993</v>
      </c>
      <c r="K8" s="480">
        <v>76.989999999999995</v>
      </c>
      <c r="L8" s="479">
        <v>47.81</v>
      </c>
      <c r="M8" s="480">
        <v>63.34</v>
      </c>
      <c r="N8" s="479">
        <v>71.319999999999993</v>
      </c>
      <c r="O8" s="480">
        <v>155.88</v>
      </c>
      <c r="P8" s="479">
        <v>27.74</v>
      </c>
      <c r="Q8" s="110"/>
      <c r="R8" s="110"/>
      <c r="S8" s="110"/>
      <c r="T8" s="110"/>
      <c r="U8" s="110"/>
      <c r="V8" s="110"/>
      <c r="W8" s="110"/>
      <c r="X8" s="110"/>
      <c r="Y8" s="110"/>
      <c r="Z8" s="110"/>
      <c r="AA8" s="110"/>
      <c r="AB8" s="110"/>
      <c r="AC8" s="110"/>
      <c r="AD8" s="110"/>
    </row>
    <row r="9" spans="1:31" s="105" customFormat="1" ht="14">
      <c r="A9" s="240"/>
      <c r="B9" s="252" t="s">
        <v>234</v>
      </c>
      <c r="C9" s="478">
        <v>18.829999999999998</v>
      </c>
      <c r="D9" s="479">
        <v>19.809999999999999</v>
      </c>
      <c r="E9" s="480">
        <v>4.92</v>
      </c>
      <c r="F9" s="479">
        <v>7.62</v>
      </c>
      <c r="G9" s="480">
        <v>1.8</v>
      </c>
      <c r="H9" s="479">
        <v>76.34</v>
      </c>
      <c r="I9" s="480">
        <v>1.1200000000000001</v>
      </c>
      <c r="J9" s="479">
        <v>7.94</v>
      </c>
      <c r="K9" s="480">
        <v>76.48</v>
      </c>
      <c r="L9" s="479">
        <v>49.31</v>
      </c>
      <c r="M9" s="480">
        <v>63.99</v>
      </c>
      <c r="N9" s="479">
        <v>71.56</v>
      </c>
      <c r="O9" s="480">
        <v>137.46</v>
      </c>
      <c r="P9" s="479">
        <v>26.9</v>
      </c>
      <c r="Q9" s="110"/>
      <c r="R9" s="110"/>
      <c r="S9" s="110"/>
      <c r="T9" s="110"/>
      <c r="U9" s="110"/>
      <c r="V9" s="110"/>
      <c r="W9" s="110"/>
      <c r="X9" s="110"/>
      <c r="Y9" s="110"/>
      <c r="Z9" s="110"/>
      <c r="AA9" s="110"/>
      <c r="AB9" s="110"/>
      <c r="AC9" s="110"/>
      <c r="AD9" s="110"/>
    </row>
    <row r="10" spans="1:31" s="105" customFormat="1" ht="14">
      <c r="A10" s="239">
        <v>2012</v>
      </c>
      <c r="B10" s="251" t="s">
        <v>231</v>
      </c>
      <c r="C10" s="475">
        <v>19.25</v>
      </c>
      <c r="D10" s="476">
        <v>20.010000000000002</v>
      </c>
      <c r="E10" s="477">
        <v>4.8499999999999996</v>
      </c>
      <c r="F10" s="476">
        <v>7.64</v>
      </c>
      <c r="G10" s="477">
        <v>1.91</v>
      </c>
      <c r="H10" s="476">
        <v>74.94</v>
      </c>
      <c r="I10" s="477">
        <v>1.44</v>
      </c>
      <c r="J10" s="476">
        <v>13.33</v>
      </c>
      <c r="K10" s="477">
        <v>72.81</v>
      </c>
      <c r="L10" s="476">
        <v>46.34</v>
      </c>
      <c r="M10" s="477">
        <v>64.069999999999993</v>
      </c>
      <c r="N10" s="476">
        <v>72</v>
      </c>
      <c r="O10" s="477">
        <v>142.5</v>
      </c>
      <c r="P10" s="476">
        <v>26.56</v>
      </c>
      <c r="Q10" s="110"/>
      <c r="R10" s="110"/>
      <c r="S10" s="110"/>
      <c r="T10" s="110"/>
      <c r="U10" s="110"/>
      <c r="V10" s="110"/>
      <c r="W10" s="110"/>
      <c r="X10" s="110"/>
      <c r="Y10" s="110"/>
      <c r="Z10" s="110"/>
      <c r="AA10" s="110"/>
      <c r="AB10" s="110"/>
      <c r="AC10" s="110"/>
      <c r="AD10" s="110"/>
    </row>
    <row r="11" spans="1:31" s="105" customFormat="1" ht="14">
      <c r="A11" s="239"/>
      <c r="B11" s="251" t="s">
        <v>232</v>
      </c>
      <c r="C11" s="478">
        <v>19.5</v>
      </c>
      <c r="D11" s="479">
        <v>20.170000000000002</v>
      </c>
      <c r="E11" s="480">
        <v>4.5999999999999996</v>
      </c>
      <c r="F11" s="479">
        <v>7.23</v>
      </c>
      <c r="G11" s="480">
        <v>1.82</v>
      </c>
      <c r="H11" s="479">
        <v>74.819999999999993</v>
      </c>
      <c r="I11" s="480">
        <v>1.39</v>
      </c>
      <c r="J11" s="479">
        <v>12.74</v>
      </c>
      <c r="K11" s="480">
        <v>73.8</v>
      </c>
      <c r="L11" s="479">
        <v>47.7</v>
      </c>
      <c r="M11" s="480">
        <v>63.6</v>
      </c>
      <c r="N11" s="479">
        <v>71.89</v>
      </c>
      <c r="O11" s="480">
        <v>149.22</v>
      </c>
      <c r="P11" s="479">
        <v>28.12</v>
      </c>
      <c r="Q11" s="110"/>
      <c r="R11" s="110"/>
      <c r="S11" s="110"/>
      <c r="T11" s="110"/>
      <c r="U11" s="110"/>
      <c r="V11" s="110"/>
      <c r="W11" s="110"/>
      <c r="X11" s="110"/>
      <c r="Y11" s="110"/>
      <c r="Z11" s="110"/>
      <c r="AA11" s="110"/>
      <c r="AB11" s="110"/>
      <c r="AC11" s="110"/>
      <c r="AD11" s="110"/>
    </row>
    <row r="12" spans="1:31" s="105" customFormat="1" ht="14">
      <c r="A12" s="239"/>
      <c r="B12" s="251" t="s">
        <v>233</v>
      </c>
      <c r="C12" s="478">
        <v>18.54</v>
      </c>
      <c r="D12" s="479">
        <v>19.3</v>
      </c>
      <c r="E12" s="480">
        <v>4.72</v>
      </c>
      <c r="F12" s="479">
        <v>7.03</v>
      </c>
      <c r="G12" s="480">
        <v>1.83</v>
      </c>
      <c r="H12" s="479">
        <v>73.930000000000007</v>
      </c>
      <c r="I12" s="480">
        <v>1.33</v>
      </c>
      <c r="J12" s="479">
        <v>12.03</v>
      </c>
      <c r="K12" s="480">
        <v>73.010000000000005</v>
      </c>
      <c r="L12" s="479">
        <v>48.33</v>
      </c>
      <c r="M12" s="480">
        <v>64.3</v>
      </c>
      <c r="N12" s="479">
        <v>72.599999999999994</v>
      </c>
      <c r="O12" s="480">
        <v>136.94999999999999</v>
      </c>
      <c r="P12" s="479">
        <v>28.61</v>
      </c>
      <c r="Q12" s="110"/>
      <c r="R12" s="110"/>
      <c r="S12" s="110"/>
      <c r="T12" s="110"/>
      <c r="U12" s="110"/>
      <c r="V12" s="110"/>
      <c r="W12" s="110"/>
      <c r="X12" s="110"/>
      <c r="Y12" s="110"/>
      <c r="Z12" s="110"/>
      <c r="AA12" s="110"/>
      <c r="AB12" s="110"/>
      <c r="AC12" s="110"/>
      <c r="AD12" s="110"/>
    </row>
    <row r="13" spans="1:31" s="105" customFormat="1" ht="14">
      <c r="A13" s="239"/>
      <c r="B13" s="251" t="s">
        <v>234</v>
      </c>
      <c r="C13" s="481">
        <v>20.85</v>
      </c>
      <c r="D13" s="482">
        <v>21.03</v>
      </c>
      <c r="E13" s="483">
        <v>4.3</v>
      </c>
      <c r="F13" s="482">
        <v>6.78</v>
      </c>
      <c r="G13" s="483">
        <v>1.61</v>
      </c>
      <c r="H13" s="482">
        <v>76.239999999999995</v>
      </c>
      <c r="I13" s="483">
        <v>0.83</v>
      </c>
      <c r="J13" s="482">
        <v>5.64</v>
      </c>
      <c r="K13" s="483">
        <v>71.290000000000006</v>
      </c>
      <c r="L13" s="482">
        <v>49.29</v>
      </c>
      <c r="M13" s="483">
        <v>62.16</v>
      </c>
      <c r="N13" s="482">
        <v>70.58</v>
      </c>
      <c r="O13" s="483">
        <v>143.82</v>
      </c>
      <c r="P13" s="482">
        <v>29.99</v>
      </c>
      <c r="Q13" s="110"/>
      <c r="R13" s="110"/>
      <c r="S13" s="110"/>
      <c r="T13" s="110"/>
      <c r="U13" s="110"/>
      <c r="V13" s="110"/>
      <c r="W13" s="110"/>
      <c r="X13" s="110"/>
      <c r="Y13" s="110"/>
      <c r="Z13" s="110"/>
      <c r="AA13" s="110"/>
      <c r="AB13" s="110"/>
      <c r="AC13" s="110"/>
      <c r="AD13" s="110"/>
    </row>
    <row r="14" spans="1:31" s="105" customFormat="1" ht="14">
      <c r="A14" s="238">
        <v>2013</v>
      </c>
      <c r="B14" s="247" t="s">
        <v>231</v>
      </c>
      <c r="C14" s="478">
        <v>19.38</v>
      </c>
      <c r="D14" s="479">
        <v>19.62</v>
      </c>
      <c r="E14" s="480">
        <v>4.2300000000000004</v>
      </c>
      <c r="F14" s="479">
        <v>6.83</v>
      </c>
      <c r="G14" s="480">
        <v>1.64</v>
      </c>
      <c r="H14" s="479">
        <v>75.989999999999995</v>
      </c>
      <c r="I14" s="480">
        <v>1.37</v>
      </c>
      <c r="J14" s="479">
        <v>12.26</v>
      </c>
      <c r="K14" s="480">
        <v>73.569999999999993</v>
      </c>
      <c r="L14" s="479">
        <v>47</v>
      </c>
      <c r="M14" s="480">
        <v>60.51</v>
      </c>
      <c r="N14" s="479">
        <v>68.260000000000005</v>
      </c>
      <c r="O14" s="480">
        <v>147.85</v>
      </c>
      <c r="P14" s="479">
        <v>28.58</v>
      </c>
      <c r="Q14" s="110"/>
      <c r="R14" s="110"/>
      <c r="S14" s="110"/>
      <c r="T14" s="110"/>
      <c r="U14" s="110"/>
      <c r="V14" s="110"/>
      <c r="W14" s="110"/>
      <c r="X14" s="110"/>
      <c r="Y14" s="110"/>
      <c r="Z14" s="110"/>
      <c r="AA14" s="110"/>
      <c r="AB14" s="110"/>
      <c r="AC14" s="110"/>
      <c r="AD14" s="110"/>
    </row>
    <row r="15" spans="1:31" s="105" customFormat="1" ht="14">
      <c r="A15" s="239"/>
      <c r="B15" s="251" t="s">
        <v>232</v>
      </c>
      <c r="C15" s="478">
        <v>19.36</v>
      </c>
      <c r="D15" s="479">
        <v>19.489999999999998</v>
      </c>
      <c r="E15" s="480">
        <v>4.84</v>
      </c>
      <c r="F15" s="479">
        <v>6.73</v>
      </c>
      <c r="G15" s="480">
        <v>1.84</v>
      </c>
      <c r="H15" s="479">
        <v>72.66</v>
      </c>
      <c r="I15" s="480">
        <v>1.29</v>
      </c>
      <c r="J15" s="479">
        <v>11.31</v>
      </c>
      <c r="K15" s="480">
        <v>73.11</v>
      </c>
      <c r="L15" s="479">
        <v>48.98</v>
      </c>
      <c r="M15" s="480">
        <v>59.88</v>
      </c>
      <c r="N15" s="479">
        <v>67.98</v>
      </c>
      <c r="O15" s="480">
        <v>147.63999999999999</v>
      </c>
      <c r="P15" s="479">
        <v>29.79</v>
      </c>
      <c r="Q15" s="110"/>
      <c r="R15" s="110"/>
      <c r="S15" s="110"/>
      <c r="T15" s="110"/>
      <c r="U15" s="110"/>
      <c r="V15" s="110"/>
      <c r="W15" s="110"/>
      <c r="X15" s="110"/>
      <c r="Y15" s="110"/>
      <c r="Z15" s="110"/>
      <c r="AA15" s="110"/>
      <c r="AB15" s="110"/>
      <c r="AC15" s="110"/>
      <c r="AD15" s="110"/>
    </row>
    <row r="16" spans="1:31" s="105" customFormat="1" ht="14">
      <c r="A16" s="239"/>
      <c r="B16" s="251" t="s">
        <v>233</v>
      </c>
      <c r="C16" s="478">
        <v>18.97</v>
      </c>
      <c r="D16" s="479">
        <v>19.57</v>
      </c>
      <c r="E16" s="480">
        <v>5.26</v>
      </c>
      <c r="F16" s="479">
        <v>6.78</v>
      </c>
      <c r="G16" s="480">
        <v>1.94</v>
      </c>
      <c r="H16" s="479">
        <v>71.38</v>
      </c>
      <c r="I16" s="480">
        <v>1.28</v>
      </c>
      <c r="J16" s="479">
        <v>9.93</v>
      </c>
      <c r="K16" s="480">
        <v>72.900000000000006</v>
      </c>
      <c r="L16" s="479">
        <v>48.96</v>
      </c>
      <c r="M16" s="480">
        <v>57.98</v>
      </c>
      <c r="N16" s="479">
        <v>66.33</v>
      </c>
      <c r="O16" s="480">
        <v>119.94</v>
      </c>
      <c r="P16" s="479">
        <v>31.34</v>
      </c>
      <c r="Q16" s="110"/>
      <c r="R16" s="110"/>
      <c r="S16" s="110"/>
      <c r="T16" s="110"/>
      <c r="U16" s="110"/>
      <c r="V16" s="110"/>
      <c r="W16" s="110"/>
      <c r="X16" s="110"/>
      <c r="Y16" s="110"/>
      <c r="Z16" s="110"/>
      <c r="AA16" s="110"/>
      <c r="AB16" s="110"/>
      <c r="AC16" s="110"/>
      <c r="AD16" s="110"/>
    </row>
    <row r="17" spans="1:30" s="105" customFormat="1" ht="14">
      <c r="A17" s="240"/>
      <c r="B17" s="252" t="s">
        <v>234</v>
      </c>
      <c r="C17" s="478">
        <v>20.420000000000002</v>
      </c>
      <c r="D17" s="479">
        <v>21.18</v>
      </c>
      <c r="E17" s="480">
        <v>4.47</v>
      </c>
      <c r="F17" s="479">
        <v>5.67</v>
      </c>
      <c r="G17" s="480">
        <v>1.65</v>
      </c>
      <c r="H17" s="479">
        <v>70.900000000000006</v>
      </c>
      <c r="I17" s="480">
        <v>1.32</v>
      </c>
      <c r="J17" s="479">
        <v>10.16</v>
      </c>
      <c r="K17" s="480">
        <v>73.2</v>
      </c>
      <c r="L17" s="479">
        <v>49.01</v>
      </c>
      <c r="M17" s="480">
        <v>56.18</v>
      </c>
      <c r="N17" s="479">
        <v>64.95</v>
      </c>
      <c r="O17" s="480">
        <v>113.07</v>
      </c>
      <c r="P17" s="479">
        <v>33.58</v>
      </c>
      <c r="Q17" s="110"/>
      <c r="R17" s="110"/>
      <c r="S17" s="110"/>
      <c r="T17" s="110"/>
      <c r="U17" s="110"/>
      <c r="V17" s="110"/>
      <c r="W17" s="110"/>
      <c r="X17" s="110"/>
      <c r="Y17" s="110"/>
      <c r="Z17" s="110"/>
      <c r="AA17" s="110"/>
      <c r="AB17" s="110"/>
      <c r="AC17" s="110"/>
      <c r="AD17" s="110"/>
    </row>
    <row r="18" spans="1:30" s="105" customFormat="1" ht="14">
      <c r="A18" s="238">
        <v>2014</v>
      </c>
      <c r="B18" s="247" t="s">
        <v>231</v>
      </c>
      <c r="C18" s="475">
        <v>21.08</v>
      </c>
      <c r="D18" s="476">
        <v>21.36</v>
      </c>
      <c r="E18" s="476">
        <v>4.3899999999999997</v>
      </c>
      <c r="F18" s="476">
        <v>5.67</v>
      </c>
      <c r="G18" s="477">
        <v>1.71</v>
      </c>
      <c r="H18" s="476">
        <v>69.900000000000006</v>
      </c>
      <c r="I18" s="477">
        <v>1.47</v>
      </c>
      <c r="J18" s="476">
        <v>10.4</v>
      </c>
      <c r="K18" s="477">
        <v>75.180000000000007</v>
      </c>
      <c r="L18" s="476">
        <v>52.77</v>
      </c>
      <c r="M18" s="477">
        <v>58.04</v>
      </c>
      <c r="N18" s="476">
        <v>67.150000000000006</v>
      </c>
      <c r="O18" s="477">
        <v>107.06</v>
      </c>
      <c r="P18" s="476">
        <v>32.93</v>
      </c>
      <c r="Q18" s="110"/>
      <c r="R18" s="110"/>
      <c r="S18" s="110"/>
      <c r="T18" s="110"/>
      <c r="U18" s="110"/>
      <c r="V18" s="110"/>
      <c r="W18" s="110"/>
      <c r="X18" s="110"/>
      <c r="Y18" s="110"/>
      <c r="Z18" s="110"/>
      <c r="AA18" s="110"/>
      <c r="AB18" s="110"/>
      <c r="AC18" s="110"/>
      <c r="AD18" s="110"/>
    </row>
    <row r="19" spans="1:30" s="105" customFormat="1" ht="14">
      <c r="A19" s="239"/>
      <c r="B19" s="251" t="s">
        <v>232</v>
      </c>
      <c r="C19" s="478">
        <v>19.260000000000002</v>
      </c>
      <c r="D19" s="479">
        <v>19.82</v>
      </c>
      <c r="E19" s="479">
        <v>5.53</v>
      </c>
      <c r="F19" s="479">
        <v>6.2</v>
      </c>
      <c r="G19" s="480">
        <v>2.11</v>
      </c>
      <c r="H19" s="479">
        <v>66.02</v>
      </c>
      <c r="I19" s="480">
        <v>1.29</v>
      </c>
      <c r="J19" s="479">
        <v>9.24</v>
      </c>
      <c r="K19" s="480">
        <v>74.680000000000007</v>
      </c>
      <c r="L19" s="479">
        <v>50.72</v>
      </c>
      <c r="M19" s="480">
        <v>56.64</v>
      </c>
      <c r="N19" s="479">
        <v>64.77</v>
      </c>
      <c r="O19" s="480">
        <v>128.05000000000001</v>
      </c>
      <c r="P19" s="479">
        <v>33.14</v>
      </c>
      <c r="Q19" s="110"/>
      <c r="R19" s="110"/>
      <c r="S19" s="110"/>
      <c r="T19" s="110"/>
      <c r="U19" s="110"/>
      <c r="V19" s="110"/>
      <c r="W19" s="110"/>
      <c r="X19" s="110"/>
      <c r="Y19" s="110"/>
      <c r="Z19" s="110"/>
      <c r="AA19" s="110"/>
      <c r="AB19" s="110"/>
      <c r="AC19" s="110"/>
      <c r="AD19" s="110"/>
    </row>
    <row r="20" spans="1:30" s="105" customFormat="1" ht="14">
      <c r="A20" s="239"/>
      <c r="B20" s="251" t="s">
        <v>233</v>
      </c>
      <c r="C20" s="478">
        <v>19.29</v>
      </c>
      <c r="D20" s="479">
        <v>19.600000000000001</v>
      </c>
      <c r="E20" s="479">
        <v>4.67</v>
      </c>
      <c r="F20" s="479">
        <v>5.73</v>
      </c>
      <c r="G20" s="480">
        <v>1.74</v>
      </c>
      <c r="H20" s="479">
        <v>69.599999999999994</v>
      </c>
      <c r="I20" s="480">
        <v>1.32</v>
      </c>
      <c r="J20" s="479">
        <v>9.68</v>
      </c>
      <c r="K20" s="480">
        <v>73.53</v>
      </c>
      <c r="L20" s="479">
        <v>51.41</v>
      </c>
      <c r="M20" s="480">
        <v>55.06</v>
      </c>
      <c r="N20" s="479">
        <v>63.14</v>
      </c>
      <c r="O20" s="480">
        <v>108.95</v>
      </c>
      <c r="P20" s="479">
        <v>34.020000000000003</v>
      </c>
      <c r="Q20" s="110"/>
      <c r="R20" s="110"/>
      <c r="S20" s="110"/>
      <c r="T20" s="110"/>
      <c r="U20" s="110"/>
      <c r="V20" s="110"/>
      <c r="W20" s="110"/>
      <c r="X20" s="110"/>
      <c r="Y20" s="110"/>
      <c r="Z20" s="110"/>
      <c r="AA20" s="110"/>
      <c r="AB20" s="110"/>
      <c r="AC20" s="110"/>
      <c r="AD20" s="110"/>
    </row>
    <row r="21" spans="1:30" s="105" customFormat="1" ht="14">
      <c r="A21" s="239"/>
      <c r="B21" s="251" t="s">
        <v>234</v>
      </c>
      <c r="C21" s="478">
        <v>21.01</v>
      </c>
      <c r="D21" s="479">
        <v>22.11</v>
      </c>
      <c r="E21" s="482">
        <v>6.18</v>
      </c>
      <c r="F21" s="482">
        <v>5.03</v>
      </c>
      <c r="G21" s="480">
        <v>2.2999999999999998</v>
      </c>
      <c r="H21" s="482">
        <v>54.2</v>
      </c>
      <c r="I21" s="480">
        <v>1.37</v>
      </c>
      <c r="J21" s="479">
        <v>10.09</v>
      </c>
      <c r="K21" s="480">
        <v>76.37</v>
      </c>
      <c r="L21" s="479">
        <v>50.01</v>
      </c>
      <c r="M21" s="480">
        <v>53.88</v>
      </c>
      <c r="N21" s="479">
        <v>62.85</v>
      </c>
      <c r="O21" s="480">
        <v>122.13</v>
      </c>
      <c r="P21" s="479">
        <v>35.68</v>
      </c>
      <c r="Q21" s="110"/>
      <c r="R21" s="110"/>
      <c r="S21" s="110"/>
      <c r="T21" s="110"/>
      <c r="U21" s="110"/>
      <c r="V21" s="110"/>
      <c r="W21" s="110"/>
      <c r="X21" s="110"/>
      <c r="Y21" s="110"/>
      <c r="Z21" s="110"/>
      <c r="AA21" s="110"/>
      <c r="AB21" s="110"/>
      <c r="AC21" s="110"/>
      <c r="AD21" s="110"/>
    </row>
    <row r="22" spans="1:30" s="105" customFormat="1" ht="14">
      <c r="A22" s="238">
        <v>2015</v>
      </c>
      <c r="B22" s="272" t="s">
        <v>231</v>
      </c>
      <c r="C22" s="476">
        <v>20.95</v>
      </c>
      <c r="D22" s="477">
        <v>21.45</v>
      </c>
      <c r="E22" s="475">
        <v>4.12</v>
      </c>
      <c r="F22" s="476">
        <v>4.6900000000000004</v>
      </c>
      <c r="G22" s="484">
        <v>1.57</v>
      </c>
      <c r="H22" s="484">
        <v>66.39</v>
      </c>
      <c r="I22" s="476">
        <v>1.1299999999999999</v>
      </c>
      <c r="J22" s="476">
        <v>7.91</v>
      </c>
      <c r="K22" s="476">
        <v>78.41</v>
      </c>
      <c r="L22" s="477">
        <v>55.37</v>
      </c>
      <c r="M22" s="476">
        <v>52.17</v>
      </c>
      <c r="N22" s="476">
        <v>61.31</v>
      </c>
      <c r="O22" s="476">
        <v>110.58</v>
      </c>
      <c r="P22" s="476">
        <v>36.119999999999997</v>
      </c>
      <c r="Q22" s="110"/>
      <c r="R22" s="110"/>
      <c r="S22" s="110"/>
      <c r="T22" s="110"/>
      <c r="U22" s="110"/>
      <c r="V22" s="110"/>
      <c r="W22" s="110"/>
      <c r="X22" s="110"/>
      <c r="Y22" s="110"/>
      <c r="Z22" s="110"/>
      <c r="AA22" s="110"/>
      <c r="AB22" s="110"/>
      <c r="AC22" s="110"/>
      <c r="AD22" s="110"/>
    </row>
    <row r="23" spans="1:30" s="105" customFormat="1" ht="14">
      <c r="A23" s="239"/>
      <c r="B23" s="273" t="s">
        <v>232</v>
      </c>
      <c r="C23" s="479">
        <v>20.81</v>
      </c>
      <c r="D23" s="480">
        <v>21.42</v>
      </c>
      <c r="E23" s="478">
        <v>3.89</v>
      </c>
      <c r="F23" s="479">
        <v>3.98</v>
      </c>
      <c r="G23" s="485">
        <v>1.44</v>
      </c>
      <c r="H23" s="485">
        <v>63.87</v>
      </c>
      <c r="I23" s="479">
        <v>1.4</v>
      </c>
      <c r="J23" s="479">
        <v>9.49</v>
      </c>
      <c r="K23" s="479">
        <v>70.5</v>
      </c>
      <c r="L23" s="480">
        <v>50.2</v>
      </c>
      <c r="M23" s="479">
        <v>48.24</v>
      </c>
      <c r="N23" s="479">
        <v>56.42</v>
      </c>
      <c r="O23" s="479">
        <v>95.35</v>
      </c>
      <c r="P23" s="479">
        <v>39.24</v>
      </c>
      <c r="Q23" s="110"/>
      <c r="R23" s="110"/>
      <c r="S23" s="110"/>
      <c r="T23" s="110"/>
      <c r="U23" s="110"/>
      <c r="V23" s="110"/>
      <c r="W23" s="110"/>
      <c r="X23" s="110"/>
      <c r="Y23" s="110"/>
      <c r="Z23" s="110"/>
      <c r="AA23" s="110"/>
      <c r="AB23" s="110"/>
      <c r="AC23" s="110"/>
      <c r="AD23" s="110"/>
    </row>
    <row r="24" spans="1:30" s="105" customFormat="1" ht="14">
      <c r="A24" s="239"/>
      <c r="B24" s="273" t="s">
        <v>233</v>
      </c>
      <c r="C24" s="479">
        <v>21.07</v>
      </c>
      <c r="D24" s="480">
        <v>21.78</v>
      </c>
      <c r="E24" s="478">
        <v>4.38</v>
      </c>
      <c r="F24" s="479">
        <v>4.2300000000000004</v>
      </c>
      <c r="G24" s="485">
        <v>1.61</v>
      </c>
      <c r="H24" s="485">
        <v>62.03</v>
      </c>
      <c r="I24" s="479">
        <v>1.32</v>
      </c>
      <c r="J24" s="479">
        <v>8.9600000000000009</v>
      </c>
      <c r="K24" s="479">
        <v>71.650000000000006</v>
      </c>
      <c r="L24" s="480">
        <v>50.82</v>
      </c>
      <c r="M24" s="479">
        <v>48.55</v>
      </c>
      <c r="N24" s="479">
        <v>57.09</v>
      </c>
      <c r="O24" s="479">
        <v>97.9</v>
      </c>
      <c r="P24" s="479">
        <v>39.85</v>
      </c>
      <c r="Q24" s="110"/>
      <c r="R24" s="110"/>
      <c r="S24" s="110"/>
      <c r="T24" s="110"/>
      <c r="U24" s="110"/>
      <c r="V24" s="110"/>
      <c r="W24" s="110"/>
      <c r="X24" s="110"/>
      <c r="Y24" s="110"/>
      <c r="Z24" s="110"/>
      <c r="AA24" s="110"/>
      <c r="AB24" s="110"/>
      <c r="AC24" s="110"/>
      <c r="AD24" s="110"/>
    </row>
    <row r="25" spans="1:30" s="105" customFormat="1" ht="14">
      <c r="A25" s="240"/>
      <c r="B25" s="274" t="s">
        <v>234</v>
      </c>
      <c r="C25" s="482">
        <v>21.74</v>
      </c>
      <c r="D25" s="483">
        <v>22.94</v>
      </c>
      <c r="E25" s="481">
        <v>6.06</v>
      </c>
      <c r="F25" s="482">
        <v>4.9000000000000004</v>
      </c>
      <c r="G25" s="486">
        <v>2.2000000000000002</v>
      </c>
      <c r="H25" s="486">
        <v>55.21</v>
      </c>
      <c r="I25" s="482">
        <v>1.31</v>
      </c>
      <c r="J25" s="482">
        <v>8.68</v>
      </c>
      <c r="K25" s="482">
        <v>71.84</v>
      </c>
      <c r="L25" s="483">
        <v>52.39</v>
      </c>
      <c r="M25" s="482">
        <v>45.52</v>
      </c>
      <c r="N25" s="482">
        <v>54.46</v>
      </c>
      <c r="O25" s="482">
        <v>93.04</v>
      </c>
      <c r="P25" s="482">
        <v>42.93</v>
      </c>
      <c r="Q25" s="110"/>
      <c r="R25" s="110"/>
      <c r="S25" s="110"/>
      <c r="T25" s="110"/>
      <c r="U25" s="110"/>
      <c r="V25" s="110"/>
      <c r="W25" s="110"/>
      <c r="X25" s="110"/>
      <c r="Y25" s="110"/>
      <c r="Z25" s="110"/>
      <c r="AA25" s="110"/>
      <c r="AB25" s="110"/>
      <c r="AC25" s="110"/>
      <c r="AD25" s="110"/>
    </row>
    <row r="26" spans="1:30" s="105" customFormat="1" ht="14">
      <c r="A26" s="238">
        <v>2016</v>
      </c>
      <c r="B26" s="247" t="s">
        <v>231</v>
      </c>
      <c r="C26" s="476">
        <v>20.51</v>
      </c>
      <c r="D26" s="476">
        <v>22.3</v>
      </c>
      <c r="E26" s="476">
        <v>4.3899999999999997</v>
      </c>
      <c r="F26" s="476">
        <v>4.67</v>
      </c>
      <c r="G26" s="476">
        <v>1.6</v>
      </c>
      <c r="H26" s="476">
        <v>65.77</v>
      </c>
      <c r="I26" s="476">
        <v>1.28</v>
      </c>
      <c r="J26" s="476">
        <v>7.82</v>
      </c>
      <c r="K26" s="476">
        <v>73.63</v>
      </c>
      <c r="L26" s="476">
        <v>51.2</v>
      </c>
      <c r="M26" s="476">
        <v>46.06</v>
      </c>
      <c r="N26" s="476">
        <v>54.29</v>
      </c>
      <c r="O26" s="476">
        <v>93.52</v>
      </c>
      <c r="P26" s="476">
        <v>41.45</v>
      </c>
      <c r="Q26" s="110"/>
      <c r="R26" s="110"/>
      <c r="S26" s="110"/>
      <c r="T26" s="110"/>
      <c r="U26" s="110"/>
      <c r="V26" s="110"/>
      <c r="W26" s="110"/>
      <c r="X26" s="110"/>
      <c r="Y26" s="110"/>
      <c r="Z26" s="110"/>
      <c r="AA26" s="110"/>
      <c r="AB26" s="110"/>
      <c r="AC26" s="110"/>
      <c r="AD26" s="110"/>
    </row>
    <row r="27" spans="1:30" s="105" customFormat="1" ht="14">
      <c r="A27" s="239"/>
      <c r="B27" s="251" t="s">
        <v>232</v>
      </c>
      <c r="C27" s="479">
        <v>20.85</v>
      </c>
      <c r="D27" s="479">
        <v>22.54</v>
      </c>
      <c r="E27" s="479">
        <v>4.3</v>
      </c>
      <c r="F27" s="479">
        <v>4.53</v>
      </c>
      <c r="G27" s="479">
        <v>1.64</v>
      </c>
      <c r="H27" s="479">
        <v>63.8</v>
      </c>
      <c r="I27" s="479">
        <v>1.92</v>
      </c>
      <c r="J27" s="479">
        <v>12.7</v>
      </c>
      <c r="K27" s="479">
        <v>60.91</v>
      </c>
      <c r="L27" s="479">
        <v>42.09</v>
      </c>
      <c r="M27" s="479">
        <v>44.75</v>
      </c>
      <c r="N27" s="479">
        <v>53.41</v>
      </c>
      <c r="O27" s="479">
        <v>94.81</v>
      </c>
      <c r="P27" s="479">
        <v>41.63</v>
      </c>
      <c r="Q27" s="110"/>
      <c r="R27" s="110"/>
      <c r="S27" s="110"/>
      <c r="T27" s="110"/>
      <c r="U27" s="110"/>
      <c r="V27" s="110"/>
      <c r="W27" s="110"/>
      <c r="X27" s="110"/>
      <c r="Y27" s="110"/>
      <c r="Z27" s="110"/>
      <c r="AA27" s="110"/>
      <c r="AB27" s="110"/>
      <c r="AC27" s="110"/>
      <c r="AD27" s="110"/>
    </row>
    <row r="28" spans="1:30" s="105" customFormat="1" ht="14">
      <c r="A28" s="239"/>
      <c r="B28" s="251" t="s">
        <v>233</v>
      </c>
      <c r="C28" s="479">
        <v>20.49</v>
      </c>
      <c r="D28" s="479">
        <v>21.95</v>
      </c>
      <c r="E28" s="479">
        <v>5.51</v>
      </c>
      <c r="F28" s="479">
        <v>5.43</v>
      </c>
      <c r="G28" s="479">
        <v>2.14</v>
      </c>
      <c r="H28" s="479">
        <v>60.51</v>
      </c>
      <c r="I28" s="479">
        <v>1.1000000000000001</v>
      </c>
      <c r="J28" s="479">
        <v>6.97</v>
      </c>
      <c r="K28" s="479">
        <v>65.290000000000006</v>
      </c>
      <c r="L28" s="479">
        <v>49.97</v>
      </c>
      <c r="M28" s="479">
        <v>50.95</v>
      </c>
      <c r="N28" s="479">
        <v>61.73</v>
      </c>
      <c r="O28" s="479">
        <v>123.45</v>
      </c>
      <c r="P28" s="479">
        <v>37.659999999999997</v>
      </c>
      <c r="Q28" s="110"/>
      <c r="R28" s="110"/>
      <c r="S28" s="110"/>
      <c r="T28" s="110"/>
      <c r="U28" s="110"/>
      <c r="V28" s="110"/>
      <c r="W28" s="110"/>
      <c r="X28" s="110"/>
      <c r="Y28" s="110"/>
      <c r="Z28" s="110"/>
      <c r="AA28" s="110"/>
      <c r="AB28" s="110"/>
      <c r="AC28" s="110"/>
      <c r="AD28" s="110"/>
    </row>
    <row r="29" spans="1:30" s="105" customFormat="1" ht="14">
      <c r="A29" s="240"/>
      <c r="B29" s="252" t="s">
        <v>234</v>
      </c>
      <c r="C29" s="482">
        <v>21.51</v>
      </c>
      <c r="D29" s="482">
        <v>23.17</v>
      </c>
      <c r="E29" s="482">
        <v>7.82</v>
      </c>
      <c r="F29" s="482">
        <v>5.88</v>
      </c>
      <c r="G29" s="482">
        <v>3.34</v>
      </c>
      <c r="H29" s="482">
        <v>43.27</v>
      </c>
      <c r="I29" s="482">
        <v>1</v>
      </c>
      <c r="J29" s="482">
        <v>6.45</v>
      </c>
      <c r="K29" s="482">
        <v>66.7</v>
      </c>
      <c r="L29" s="482">
        <v>53.58</v>
      </c>
      <c r="M29" s="482">
        <v>50.42</v>
      </c>
      <c r="N29" s="482">
        <v>59.97</v>
      </c>
      <c r="O29" s="482">
        <v>114.99</v>
      </c>
      <c r="P29" s="482">
        <v>35.799999999999997</v>
      </c>
      <c r="Q29" s="110"/>
      <c r="R29" s="110"/>
      <c r="S29" s="110"/>
      <c r="T29" s="110"/>
      <c r="U29" s="110"/>
      <c r="V29" s="110"/>
      <c r="W29" s="110"/>
      <c r="X29" s="110"/>
      <c r="Y29" s="110"/>
      <c r="Z29" s="110"/>
      <c r="AA29" s="110"/>
      <c r="AB29" s="110"/>
      <c r="AC29" s="110"/>
      <c r="AD29" s="110"/>
    </row>
    <row r="30" spans="1:30" s="105" customFormat="1" ht="14">
      <c r="A30" s="238">
        <v>2017</v>
      </c>
      <c r="B30" s="247" t="s">
        <v>231</v>
      </c>
      <c r="C30" s="479">
        <v>23.13</v>
      </c>
      <c r="D30" s="479">
        <v>22.36</v>
      </c>
      <c r="E30" s="476">
        <v>6.42</v>
      </c>
      <c r="F30" s="476">
        <v>5.75</v>
      </c>
      <c r="G30" s="476">
        <v>2.84</v>
      </c>
      <c r="H30" s="476">
        <v>50.61</v>
      </c>
      <c r="I30" s="476">
        <v>0.82</v>
      </c>
      <c r="J30" s="476">
        <v>4.54</v>
      </c>
      <c r="K30" s="476">
        <v>83.51</v>
      </c>
      <c r="L30" s="476">
        <v>55.91</v>
      </c>
      <c r="M30" s="476">
        <v>48.9</v>
      </c>
      <c r="N30" s="476">
        <v>58.06</v>
      </c>
      <c r="O30" s="476">
        <v>98.57</v>
      </c>
      <c r="P30" s="476">
        <v>36.72</v>
      </c>
      <c r="Q30" s="110"/>
      <c r="R30" s="110"/>
      <c r="S30" s="110"/>
      <c r="T30" s="110"/>
      <c r="U30" s="110"/>
      <c r="V30" s="110"/>
      <c r="W30" s="110"/>
      <c r="X30" s="110"/>
      <c r="Y30" s="110"/>
      <c r="Z30" s="110"/>
      <c r="AA30" s="110"/>
      <c r="AB30" s="110"/>
      <c r="AC30" s="110"/>
      <c r="AD30" s="110"/>
    </row>
    <row r="31" spans="1:30" s="105" customFormat="1" ht="14">
      <c r="A31" s="239"/>
      <c r="B31" s="251" t="s">
        <v>232</v>
      </c>
      <c r="C31" s="479">
        <v>23.11</v>
      </c>
      <c r="D31" s="479">
        <v>22.6</v>
      </c>
      <c r="E31" s="479">
        <v>4.71</v>
      </c>
      <c r="F31" s="479">
        <v>5.3</v>
      </c>
      <c r="G31" s="479">
        <v>2.19</v>
      </c>
      <c r="H31" s="479">
        <v>58.72</v>
      </c>
      <c r="I31" s="479">
        <v>2.13</v>
      </c>
      <c r="J31" s="479">
        <v>13.8</v>
      </c>
      <c r="K31" s="479">
        <v>61.05</v>
      </c>
      <c r="L31" s="479">
        <v>41.42</v>
      </c>
      <c r="M31" s="479">
        <v>52.96</v>
      </c>
      <c r="N31" s="479">
        <v>63.24</v>
      </c>
      <c r="O31" s="479">
        <v>113.02</v>
      </c>
      <c r="P31" s="479">
        <v>36.01</v>
      </c>
      <c r="Q31" s="110"/>
      <c r="R31" s="110"/>
      <c r="S31" s="110"/>
      <c r="T31" s="110"/>
      <c r="U31" s="110"/>
      <c r="V31" s="110"/>
      <c r="W31" s="110"/>
      <c r="X31" s="110"/>
      <c r="Y31" s="110"/>
      <c r="Z31" s="110"/>
      <c r="AA31" s="110"/>
      <c r="AB31" s="110"/>
      <c r="AC31" s="110"/>
      <c r="AD31" s="110"/>
    </row>
    <row r="32" spans="1:30" s="105" customFormat="1" ht="14">
      <c r="A32" s="239"/>
      <c r="B32" s="251" t="s">
        <v>233</v>
      </c>
      <c r="C32" s="479">
        <v>19.649999999999999</v>
      </c>
      <c r="D32" s="479">
        <v>19.03</v>
      </c>
      <c r="E32" s="479">
        <v>6.02</v>
      </c>
      <c r="F32" s="479">
        <v>5.29</v>
      </c>
      <c r="G32" s="479">
        <v>2.41</v>
      </c>
      <c r="H32" s="479">
        <v>54.33</v>
      </c>
      <c r="I32" s="479">
        <v>1.71</v>
      </c>
      <c r="J32" s="479">
        <v>11.45</v>
      </c>
      <c r="K32" s="479">
        <v>66.930000000000007</v>
      </c>
      <c r="L32" s="479">
        <v>45.22</v>
      </c>
      <c r="M32" s="479">
        <v>51.82</v>
      </c>
      <c r="N32" s="479">
        <v>61.38</v>
      </c>
      <c r="O32" s="479">
        <v>116.73</v>
      </c>
      <c r="P32" s="479">
        <v>35.369999999999997</v>
      </c>
      <c r="Q32" s="110"/>
      <c r="R32" s="110"/>
      <c r="S32" s="110"/>
      <c r="T32" s="110"/>
      <c r="U32" s="110"/>
      <c r="V32" s="110"/>
      <c r="W32" s="110"/>
      <c r="X32" s="110"/>
      <c r="Y32" s="110"/>
      <c r="Z32" s="110"/>
      <c r="AA32" s="110"/>
      <c r="AB32" s="110"/>
      <c r="AC32" s="110"/>
      <c r="AD32" s="110"/>
    </row>
    <row r="33" spans="1:30" s="105" customFormat="1" ht="14">
      <c r="A33" s="239"/>
      <c r="B33" s="251" t="s">
        <v>233</v>
      </c>
      <c r="C33" s="479">
        <v>18.86</v>
      </c>
      <c r="D33" s="479">
        <v>18.18</v>
      </c>
      <c r="E33" s="479">
        <v>4.3600000000000003</v>
      </c>
      <c r="F33" s="479">
        <v>4.4000000000000004</v>
      </c>
      <c r="G33" s="479">
        <v>1.64</v>
      </c>
      <c r="H33" s="479">
        <v>62.77</v>
      </c>
      <c r="I33" s="479">
        <v>1.35</v>
      </c>
      <c r="J33" s="479">
        <v>8.8800000000000008</v>
      </c>
      <c r="K33" s="479">
        <v>65.040000000000006</v>
      </c>
      <c r="L33" s="479">
        <v>51.48</v>
      </c>
      <c r="M33" s="479">
        <v>51.01</v>
      </c>
      <c r="N33" s="479">
        <v>60.03</v>
      </c>
      <c r="O33" s="479">
        <v>115.17</v>
      </c>
      <c r="P33" s="479">
        <v>34.520000000000003</v>
      </c>
      <c r="Q33" s="110"/>
      <c r="R33" s="110"/>
      <c r="S33" s="110"/>
      <c r="T33" s="110"/>
      <c r="U33" s="110"/>
      <c r="V33" s="110"/>
      <c r="W33" s="110"/>
      <c r="X33" s="110"/>
      <c r="Y33" s="110"/>
      <c r="Z33" s="110"/>
      <c r="AA33" s="110"/>
      <c r="AB33" s="110"/>
      <c r="AC33" s="110"/>
      <c r="AD33" s="110"/>
    </row>
    <row r="34" spans="1:30" s="105" customFormat="1" ht="14">
      <c r="A34" s="238">
        <v>2018</v>
      </c>
      <c r="B34" s="272" t="s">
        <v>231</v>
      </c>
      <c r="C34" s="477">
        <v>19.86</v>
      </c>
      <c r="D34" s="476">
        <v>19.39</v>
      </c>
      <c r="E34" s="476">
        <v>5.6</v>
      </c>
      <c r="F34" s="476">
        <v>5.13</v>
      </c>
      <c r="G34" s="476">
        <v>2.1</v>
      </c>
      <c r="H34" s="476">
        <v>58.96</v>
      </c>
      <c r="I34" s="476">
        <v>1.22</v>
      </c>
      <c r="J34" s="476">
        <v>8.64</v>
      </c>
      <c r="K34" s="476">
        <v>85.31</v>
      </c>
      <c r="L34" s="476">
        <v>53.42</v>
      </c>
      <c r="M34" s="476">
        <v>48.94</v>
      </c>
      <c r="N34" s="476">
        <v>57.11</v>
      </c>
      <c r="O34" s="476">
        <v>98.48</v>
      </c>
      <c r="P34" s="484">
        <v>34.89</v>
      </c>
      <c r="Q34" s="110"/>
      <c r="R34" s="110"/>
      <c r="S34" s="110"/>
      <c r="T34" s="110"/>
      <c r="U34" s="110"/>
      <c r="V34" s="110"/>
      <c r="W34" s="110"/>
      <c r="X34" s="110"/>
      <c r="Y34" s="110"/>
      <c r="Z34" s="110"/>
      <c r="AA34" s="110"/>
      <c r="AB34" s="110"/>
      <c r="AC34" s="110"/>
      <c r="AD34" s="110"/>
    </row>
    <row r="35" spans="1:30" s="105" customFormat="1" ht="14">
      <c r="A35" s="239"/>
      <c r="B35" s="273" t="s">
        <v>232</v>
      </c>
      <c r="C35" s="480">
        <v>18.86</v>
      </c>
      <c r="D35" s="479">
        <v>18.36</v>
      </c>
      <c r="E35" s="479">
        <v>6.23</v>
      </c>
      <c r="F35" s="479">
        <v>5.18</v>
      </c>
      <c r="G35" s="479">
        <v>2.25</v>
      </c>
      <c r="H35" s="479">
        <v>56.61</v>
      </c>
      <c r="I35" s="479">
        <v>1.0900000000000001</v>
      </c>
      <c r="J35" s="479">
        <v>7.36</v>
      </c>
      <c r="K35" s="479">
        <v>86.89</v>
      </c>
      <c r="L35" s="479">
        <v>54.24</v>
      </c>
      <c r="M35" s="479">
        <v>49.16</v>
      </c>
      <c r="N35" s="479">
        <v>58.28</v>
      </c>
      <c r="O35" s="479">
        <v>100.88</v>
      </c>
      <c r="P35" s="485">
        <v>36.090000000000003</v>
      </c>
      <c r="Q35" s="110"/>
      <c r="R35" s="110"/>
      <c r="S35" s="110"/>
      <c r="T35" s="110"/>
      <c r="U35" s="110"/>
      <c r="V35" s="110"/>
      <c r="W35" s="110"/>
      <c r="X35" s="110"/>
      <c r="Y35" s="110"/>
      <c r="Z35" s="110"/>
      <c r="AA35" s="110"/>
      <c r="AB35" s="110"/>
      <c r="AC35" s="110"/>
      <c r="AD35" s="110"/>
    </row>
    <row r="36" spans="1:30" s="105" customFormat="1" ht="14">
      <c r="A36" s="239"/>
      <c r="B36" s="273" t="s">
        <v>233</v>
      </c>
      <c r="C36" s="480">
        <v>18.68</v>
      </c>
      <c r="D36" s="479">
        <v>18.11</v>
      </c>
      <c r="E36" s="479">
        <v>8.23</v>
      </c>
      <c r="F36" s="479">
        <v>5.85</v>
      </c>
      <c r="G36" s="479">
        <v>2.96</v>
      </c>
      <c r="H36" s="479">
        <v>49.34</v>
      </c>
      <c r="I36" s="479">
        <v>1.1200000000000001</v>
      </c>
      <c r="J36" s="479">
        <v>7.59</v>
      </c>
      <c r="K36" s="479">
        <v>86.01</v>
      </c>
      <c r="L36" s="479">
        <v>52.7</v>
      </c>
      <c r="M36" s="479">
        <v>50.05</v>
      </c>
      <c r="N36" s="479">
        <v>58.43</v>
      </c>
      <c r="O36" s="479">
        <v>99.81</v>
      </c>
      <c r="P36" s="485">
        <v>36.11</v>
      </c>
      <c r="Q36" s="110"/>
      <c r="R36" s="110"/>
      <c r="S36" s="110"/>
      <c r="T36" s="110"/>
      <c r="U36" s="110"/>
      <c r="V36" s="110"/>
      <c r="W36" s="110"/>
      <c r="X36" s="110"/>
      <c r="Y36" s="110"/>
      <c r="Z36" s="110"/>
      <c r="AA36" s="110"/>
      <c r="AB36" s="110"/>
      <c r="AC36" s="110"/>
      <c r="AD36" s="110"/>
    </row>
    <row r="37" spans="1:30" s="105" customFormat="1" ht="14">
      <c r="A37" s="240"/>
      <c r="B37" s="274" t="s">
        <v>234</v>
      </c>
      <c r="C37" s="482">
        <v>19.3</v>
      </c>
      <c r="D37" s="482">
        <v>18.940000000000001</v>
      </c>
      <c r="E37" s="482">
        <v>7.78</v>
      </c>
      <c r="F37" s="482">
        <v>5.71</v>
      </c>
      <c r="G37" s="482">
        <v>2.88</v>
      </c>
      <c r="H37" s="482">
        <v>49.51</v>
      </c>
      <c r="I37" s="482">
        <v>1.52</v>
      </c>
      <c r="J37" s="482">
        <v>11.24</v>
      </c>
      <c r="K37" s="482">
        <v>77.66</v>
      </c>
      <c r="L37" s="482">
        <v>48.86</v>
      </c>
      <c r="M37" s="482">
        <v>51.65</v>
      </c>
      <c r="N37" s="482">
        <v>61.76</v>
      </c>
      <c r="O37" s="482">
        <v>126.03</v>
      </c>
      <c r="P37" s="482">
        <v>35.700000000000003</v>
      </c>
      <c r="Q37" s="110"/>
      <c r="R37" s="110"/>
      <c r="S37" s="110"/>
      <c r="T37" s="110"/>
      <c r="U37" s="110"/>
      <c r="V37" s="110"/>
      <c r="W37" s="110"/>
      <c r="X37" s="110"/>
      <c r="Y37" s="110"/>
      <c r="Z37" s="110"/>
      <c r="AA37" s="110"/>
      <c r="AB37" s="110"/>
      <c r="AC37" s="110"/>
      <c r="AD37" s="110"/>
    </row>
    <row r="38" spans="1:30" s="105" customFormat="1" ht="14">
      <c r="A38" s="238">
        <v>2019</v>
      </c>
      <c r="B38" s="247" t="s">
        <v>231</v>
      </c>
      <c r="C38" s="476">
        <v>20.74</v>
      </c>
      <c r="D38" s="476">
        <v>20.37</v>
      </c>
      <c r="E38" s="476">
        <v>6.63</v>
      </c>
      <c r="F38" s="476">
        <v>5.08</v>
      </c>
      <c r="G38" s="476">
        <v>2.56</v>
      </c>
      <c r="H38" s="476">
        <v>49.68</v>
      </c>
      <c r="I38" s="476">
        <v>1.49</v>
      </c>
      <c r="J38" s="476">
        <v>10.37</v>
      </c>
      <c r="K38" s="476">
        <v>77</v>
      </c>
      <c r="L38" s="476">
        <v>46.34</v>
      </c>
      <c r="M38" s="476">
        <v>48.25</v>
      </c>
      <c r="N38" s="476">
        <v>57.58</v>
      </c>
      <c r="O38" s="476">
        <v>99.62</v>
      </c>
      <c r="P38" s="476">
        <v>35.86</v>
      </c>
      <c r="Q38" s="110"/>
      <c r="R38" s="110"/>
      <c r="S38" s="110"/>
      <c r="T38" s="110"/>
      <c r="U38" s="110"/>
      <c r="V38" s="110"/>
      <c r="W38" s="110"/>
      <c r="X38" s="110"/>
      <c r="Y38" s="110"/>
      <c r="Z38" s="110"/>
      <c r="AA38" s="110"/>
      <c r="AB38" s="110"/>
      <c r="AC38" s="110"/>
      <c r="AD38" s="110"/>
    </row>
    <row r="39" spans="1:30" s="105" customFormat="1" ht="14">
      <c r="A39" s="239"/>
      <c r="B39" s="251" t="s">
        <v>232</v>
      </c>
      <c r="C39" s="479">
        <v>20.23</v>
      </c>
      <c r="D39" s="479">
        <v>19.829999999999998</v>
      </c>
      <c r="E39" s="479">
        <v>7.19</v>
      </c>
      <c r="F39" s="479">
        <v>5.27</v>
      </c>
      <c r="G39" s="479">
        <v>2.8</v>
      </c>
      <c r="H39" s="479">
        <v>46.92</v>
      </c>
      <c r="I39" s="479">
        <v>1.66</v>
      </c>
      <c r="J39" s="479">
        <v>11.42</v>
      </c>
      <c r="K39" s="479">
        <v>77.349999999999994</v>
      </c>
      <c r="L39" s="479">
        <v>46.97</v>
      </c>
      <c r="M39" s="479">
        <v>46.85</v>
      </c>
      <c r="N39" s="479">
        <v>55.27</v>
      </c>
      <c r="O39" s="479">
        <v>94.84</v>
      </c>
      <c r="P39" s="479">
        <v>37.58</v>
      </c>
      <c r="Q39" s="110"/>
      <c r="R39" s="110"/>
      <c r="S39" s="110"/>
      <c r="T39" s="110"/>
      <c r="U39" s="110"/>
      <c r="V39" s="110"/>
      <c r="W39" s="110"/>
      <c r="X39" s="110"/>
      <c r="Y39" s="110"/>
      <c r="Z39" s="110"/>
      <c r="AA39" s="110"/>
      <c r="AB39" s="110"/>
      <c r="AC39" s="110"/>
      <c r="AD39" s="110"/>
    </row>
    <row r="40" spans="1:30" s="105" customFormat="1" ht="14">
      <c r="A40" s="239"/>
      <c r="B40" s="251" t="s">
        <v>233</v>
      </c>
      <c r="C40" s="479">
        <v>20.12</v>
      </c>
      <c r="D40" s="479">
        <v>19.73</v>
      </c>
      <c r="E40" s="479">
        <v>7.05</v>
      </c>
      <c r="F40" s="479">
        <v>4.84</v>
      </c>
      <c r="G40" s="479">
        <v>2.57</v>
      </c>
      <c r="H40" s="479">
        <v>46.95</v>
      </c>
      <c r="I40" s="479">
        <v>1.84</v>
      </c>
      <c r="J40" s="479">
        <v>12.56</v>
      </c>
      <c r="K40" s="479">
        <v>75.77</v>
      </c>
      <c r="L40" s="479">
        <v>47.03</v>
      </c>
      <c r="M40" s="479">
        <v>47.5</v>
      </c>
      <c r="N40" s="479">
        <v>56.78</v>
      </c>
      <c r="O40" s="479">
        <v>96.36</v>
      </c>
      <c r="P40" s="479">
        <v>41.42</v>
      </c>
      <c r="Q40" s="110"/>
      <c r="R40" s="110"/>
      <c r="S40" s="110"/>
      <c r="T40" s="110"/>
      <c r="U40" s="110"/>
      <c r="V40" s="110"/>
      <c r="W40" s="110"/>
      <c r="X40" s="110"/>
      <c r="Y40" s="110"/>
      <c r="Z40" s="110"/>
      <c r="AA40" s="110"/>
      <c r="AB40" s="110"/>
      <c r="AC40" s="110"/>
      <c r="AD40" s="110"/>
    </row>
    <row r="41" spans="1:30" s="105" customFormat="1" ht="14">
      <c r="A41" s="240"/>
      <c r="B41" s="252" t="s">
        <v>234</v>
      </c>
      <c r="C41" s="482">
        <v>20.079999999999998</v>
      </c>
      <c r="D41" s="482">
        <v>19.71</v>
      </c>
      <c r="E41" s="482">
        <v>6.46</v>
      </c>
      <c r="F41" s="482">
        <v>4.6399999999999997</v>
      </c>
      <c r="G41" s="482">
        <v>2.41</v>
      </c>
      <c r="H41" s="482">
        <v>48.18</v>
      </c>
      <c r="I41" s="482">
        <v>1.8</v>
      </c>
      <c r="J41" s="482">
        <v>12.49</v>
      </c>
      <c r="K41" s="482">
        <v>72.86</v>
      </c>
      <c r="L41" s="482">
        <v>47.17</v>
      </c>
      <c r="M41" s="482">
        <v>46.49</v>
      </c>
      <c r="N41" s="482">
        <v>55.18</v>
      </c>
      <c r="O41" s="482">
        <v>103.19</v>
      </c>
      <c r="P41" s="482">
        <v>37.56</v>
      </c>
      <c r="Q41" s="110"/>
      <c r="R41" s="110"/>
      <c r="S41" s="110"/>
      <c r="T41" s="110"/>
      <c r="U41" s="110"/>
      <c r="V41" s="110"/>
      <c r="W41" s="110"/>
      <c r="X41" s="110"/>
      <c r="Y41" s="110"/>
      <c r="Z41" s="110"/>
      <c r="AA41" s="110"/>
      <c r="AB41" s="110"/>
      <c r="AC41" s="110"/>
      <c r="AD41" s="110"/>
    </row>
    <row r="42" spans="1:30" s="105" customFormat="1" ht="14.25" customHeight="1">
      <c r="A42" s="238">
        <v>2020</v>
      </c>
      <c r="B42" s="272" t="s">
        <v>231</v>
      </c>
      <c r="C42" s="475">
        <v>20.34501807973459</v>
      </c>
      <c r="D42" s="476">
        <v>19.964455401291001</v>
      </c>
      <c r="E42" s="476">
        <v>6.3553843752994181</v>
      </c>
      <c r="F42" s="476">
        <v>4.3747004227587816</v>
      </c>
      <c r="G42" s="476">
        <v>2.3488194364351709</v>
      </c>
      <c r="H42" s="476">
        <v>46.309022116902945</v>
      </c>
      <c r="I42" s="476">
        <v>1.2124988278665405</v>
      </c>
      <c r="J42" s="476">
        <v>7.3160159800594231</v>
      </c>
      <c r="K42" s="476">
        <v>88.216540250361916</v>
      </c>
      <c r="L42" s="476">
        <v>57.483268261732867</v>
      </c>
      <c r="M42" s="476">
        <v>46.705436310213841</v>
      </c>
      <c r="N42" s="476">
        <v>56.764699784107073</v>
      </c>
      <c r="O42" s="476">
        <v>92.579167572476052</v>
      </c>
      <c r="P42" s="476">
        <v>40.709180755311245</v>
      </c>
      <c r="Q42" s="110"/>
      <c r="R42" s="110"/>
      <c r="S42" s="110"/>
      <c r="T42" s="110"/>
      <c r="U42" s="110"/>
      <c r="V42" s="110"/>
      <c r="W42" s="110"/>
      <c r="X42" s="110"/>
      <c r="Y42" s="110"/>
      <c r="Z42" s="110"/>
      <c r="AA42" s="110"/>
      <c r="AB42" s="110"/>
      <c r="AC42" s="110"/>
      <c r="AD42" s="110"/>
    </row>
    <row r="43" spans="1:30" s="105" customFormat="1" ht="14.25" customHeight="1">
      <c r="A43" s="239"/>
      <c r="B43" s="273" t="s">
        <v>232</v>
      </c>
      <c r="C43" s="480">
        <v>20.548274478944951</v>
      </c>
      <c r="D43" s="479">
        <v>20.105559592188282</v>
      </c>
      <c r="E43" s="479">
        <v>6.2034359792237357</v>
      </c>
      <c r="F43" s="479">
        <v>4.3123606260250558</v>
      </c>
      <c r="G43" s="479">
        <v>2.2911042121283547</v>
      </c>
      <c r="H43" s="479">
        <v>46.871228758059729</v>
      </c>
      <c r="I43" s="479">
        <v>1.6851854019566768</v>
      </c>
      <c r="J43" s="479">
        <v>11.679364731417806</v>
      </c>
      <c r="K43" s="479">
        <v>70.763406734550642</v>
      </c>
      <c r="L43" s="479">
        <v>47.352968538636006</v>
      </c>
      <c r="M43" s="479">
        <v>44.233061578544465</v>
      </c>
      <c r="N43" s="479">
        <v>53.734557300229312</v>
      </c>
      <c r="O43" s="479">
        <v>85.779318553451205</v>
      </c>
      <c r="P43" s="479">
        <v>40.58242518401368</v>
      </c>
      <c r="Q43" s="110"/>
      <c r="R43" s="110"/>
      <c r="S43" s="110"/>
      <c r="T43" s="110"/>
      <c r="U43" s="110"/>
      <c r="V43" s="110"/>
      <c r="W43" s="110"/>
      <c r="X43" s="110"/>
      <c r="Y43" s="110"/>
      <c r="Z43" s="110"/>
      <c r="AA43" s="110"/>
      <c r="AB43" s="110"/>
      <c r="AC43" s="110"/>
      <c r="AD43" s="110"/>
    </row>
    <row r="44" spans="1:30" s="105" customFormat="1" ht="14.25" customHeight="1">
      <c r="A44" s="239"/>
      <c r="B44" s="273" t="s">
        <v>233</v>
      </c>
      <c r="C44" s="479">
        <v>21.085915491226402</v>
      </c>
      <c r="D44" s="479">
        <v>20.648541289545712</v>
      </c>
      <c r="E44" s="479">
        <v>6.2378400202981581</v>
      </c>
      <c r="F44" s="479">
        <v>4.3461264321036062</v>
      </c>
      <c r="G44" s="479">
        <v>2.3941794112450241</v>
      </c>
      <c r="H44" s="479">
        <v>44.912338638841746</v>
      </c>
      <c r="I44" s="479">
        <v>1.657519248856383</v>
      </c>
      <c r="J44" s="479">
        <v>11.406709720893355</v>
      </c>
      <c r="K44" s="479">
        <v>71.065958210742835</v>
      </c>
      <c r="L44" s="479">
        <v>48.850842747720975</v>
      </c>
      <c r="M44" s="479">
        <v>49.768889244760665</v>
      </c>
      <c r="N44" s="479">
        <v>61.686374160049574</v>
      </c>
      <c r="O44" s="479">
        <v>101.60119848292109</v>
      </c>
      <c r="P44" s="479">
        <v>40.311996086214982</v>
      </c>
      <c r="Q44" s="110"/>
      <c r="R44" s="110"/>
      <c r="S44" s="110"/>
      <c r="T44" s="110"/>
      <c r="U44" s="110"/>
      <c r="V44" s="110"/>
      <c r="W44" s="110"/>
      <c r="X44" s="110"/>
      <c r="Y44" s="110"/>
      <c r="Z44" s="110"/>
      <c r="AA44" s="110"/>
      <c r="AB44" s="110"/>
      <c r="AC44" s="110"/>
      <c r="AD44" s="110"/>
    </row>
    <row r="45" spans="1:30" s="105" customFormat="1" ht="14.25" customHeight="1">
      <c r="A45" s="240"/>
      <c r="B45" s="274" t="s">
        <v>234</v>
      </c>
      <c r="C45" s="483">
        <v>20.788286365888847</v>
      </c>
      <c r="D45" s="482">
        <v>20.495355253826489</v>
      </c>
      <c r="E45" s="482">
        <v>6.1299082835785539</v>
      </c>
      <c r="F45" s="482">
        <v>4.7003891426411304</v>
      </c>
      <c r="G45" s="482">
        <v>2.4362792153983102</v>
      </c>
      <c r="H45" s="482">
        <v>48.168563464314126</v>
      </c>
      <c r="I45" s="482">
        <v>1.5235729033705998</v>
      </c>
      <c r="J45" s="482">
        <v>10.562865014386594</v>
      </c>
      <c r="K45" s="482">
        <v>71.633837311701981</v>
      </c>
      <c r="L45" s="482">
        <v>50.748018837984809</v>
      </c>
      <c r="M45" s="482">
        <v>48.220124309570828</v>
      </c>
      <c r="N45" s="482">
        <v>60.228244114919192</v>
      </c>
      <c r="O45" s="482">
        <v>95.866341096809066</v>
      </c>
      <c r="P45" s="482">
        <v>39.810990810168143</v>
      </c>
      <c r="Q45" s="110"/>
      <c r="R45" s="110"/>
      <c r="S45" s="110"/>
      <c r="T45" s="110"/>
      <c r="U45" s="110"/>
      <c r="V45" s="110"/>
      <c r="W45" s="110"/>
      <c r="X45" s="110"/>
      <c r="Y45" s="110"/>
      <c r="Z45" s="110"/>
      <c r="AA45" s="110"/>
      <c r="AB45" s="110"/>
      <c r="AC45" s="110"/>
      <c r="AD45" s="110"/>
    </row>
    <row r="46" spans="1:30" s="105" customFormat="1" ht="14.25" customHeight="1">
      <c r="A46" s="238">
        <v>2021</v>
      </c>
      <c r="B46" s="272" t="s">
        <v>231</v>
      </c>
      <c r="C46" s="477">
        <v>21.414244146300977</v>
      </c>
      <c r="D46" s="476">
        <v>21.052663634293815</v>
      </c>
      <c r="E46" s="476">
        <v>6.1275594205171977</v>
      </c>
      <c r="F46" s="476">
        <v>4.5369090484919417</v>
      </c>
      <c r="G46" s="476">
        <v>2.4728648651324736</v>
      </c>
      <c r="H46" s="476">
        <v>45.494502122442853</v>
      </c>
      <c r="I46" s="476">
        <v>1.0572171451599965</v>
      </c>
      <c r="J46" s="476">
        <v>6.3243701483850696</v>
      </c>
      <c r="K46" s="476">
        <v>78.677251896306359</v>
      </c>
      <c r="L46" s="476">
        <v>60.773906000932364</v>
      </c>
      <c r="M46" s="476">
        <v>47.801324396405683</v>
      </c>
      <c r="N46" s="476">
        <v>58.90733920814408</v>
      </c>
      <c r="O46" s="476">
        <v>94.35792478619004</v>
      </c>
      <c r="P46" s="476">
        <v>39.717233183346288</v>
      </c>
      <c r="Q46" s="110"/>
      <c r="R46" s="110"/>
      <c r="S46" s="110"/>
      <c r="T46" s="110"/>
      <c r="U46" s="110"/>
      <c r="V46" s="110"/>
      <c r="W46" s="110"/>
      <c r="X46" s="110"/>
      <c r="Y46" s="110"/>
      <c r="Z46" s="110"/>
      <c r="AA46" s="110"/>
      <c r="AB46" s="110"/>
      <c r="AC46" s="110"/>
      <c r="AD46" s="110"/>
    </row>
    <row r="47" spans="1:30" s="105" customFormat="1" ht="14.25" customHeight="1">
      <c r="A47" s="239"/>
      <c r="B47" s="273" t="s">
        <v>232</v>
      </c>
      <c r="C47" s="479">
        <v>21.505654302879908</v>
      </c>
      <c r="D47" s="479">
        <v>21.09978495303854</v>
      </c>
      <c r="E47" s="479">
        <v>5.0328936515744633</v>
      </c>
      <c r="F47" s="479">
        <v>3.9286027506768177</v>
      </c>
      <c r="G47" s="479">
        <v>2.0212735486781508</v>
      </c>
      <c r="H47" s="479">
        <v>48.549810786292227</v>
      </c>
      <c r="I47" s="479">
        <v>1.3299168509893937</v>
      </c>
      <c r="J47" s="479">
        <v>8.1636679115658044</v>
      </c>
      <c r="K47" s="479">
        <v>69.633178973375522</v>
      </c>
      <c r="L47" s="479">
        <v>57.000091983447909</v>
      </c>
      <c r="M47" s="479">
        <v>49.057767875572715</v>
      </c>
      <c r="N47" s="479">
        <v>59.535876962188581</v>
      </c>
      <c r="O47" s="479">
        <v>97.804123421825878</v>
      </c>
      <c r="P47" s="479">
        <v>38.920423858196123</v>
      </c>
      <c r="Q47" s="110"/>
      <c r="R47" s="110"/>
      <c r="S47" s="110"/>
      <c r="T47" s="110"/>
      <c r="U47" s="110"/>
      <c r="V47" s="110"/>
      <c r="W47" s="110"/>
      <c r="X47" s="110"/>
      <c r="Y47" s="110"/>
      <c r="Z47" s="110"/>
      <c r="AA47" s="110"/>
      <c r="AB47" s="110"/>
      <c r="AC47" s="110"/>
      <c r="AD47" s="110"/>
    </row>
    <row r="48" spans="1:30" s="105" customFormat="1" ht="14.25" customHeight="1">
      <c r="A48" s="239"/>
      <c r="B48" s="273" t="s">
        <v>233</v>
      </c>
      <c r="C48" s="479">
        <v>19.870593990914902</v>
      </c>
      <c r="D48" s="479">
        <v>20.269043254497209</v>
      </c>
      <c r="E48" s="479">
        <v>5.1291427931445375</v>
      </c>
      <c r="F48" s="479">
        <v>3.6368068734870294</v>
      </c>
      <c r="G48" s="479">
        <v>2.0077716531251713</v>
      </c>
      <c r="H48" s="479">
        <v>44.79300873075816</v>
      </c>
      <c r="I48" s="479">
        <v>1.4657997281304094</v>
      </c>
      <c r="J48" s="479">
        <v>9.4877766497564959</v>
      </c>
      <c r="K48" s="479">
        <v>65.239425904871894</v>
      </c>
      <c r="L48" s="479">
        <v>53.843852329600452</v>
      </c>
      <c r="M48" s="479">
        <v>49.228762453957444</v>
      </c>
      <c r="N48" s="479">
        <v>58.569284519370193</v>
      </c>
      <c r="O48" s="479">
        <v>94.076182259293134</v>
      </c>
      <c r="P48" s="479">
        <v>37.012248513360731</v>
      </c>
      <c r="Q48" s="110"/>
      <c r="R48" s="110"/>
      <c r="S48" s="110"/>
      <c r="T48" s="110"/>
      <c r="U48" s="110"/>
      <c r="V48" s="110"/>
      <c r="W48" s="110"/>
      <c r="X48" s="110"/>
      <c r="Y48" s="110"/>
      <c r="Z48" s="110"/>
      <c r="AA48" s="110"/>
      <c r="AB48" s="110"/>
      <c r="AC48" s="110"/>
      <c r="AD48" s="110"/>
    </row>
    <row r="49" spans="1:30" s="105" customFormat="1" ht="14.25" customHeight="1">
      <c r="A49" s="240"/>
      <c r="B49" s="274" t="s">
        <v>234</v>
      </c>
      <c r="C49" s="483">
        <v>21.502085438223297</v>
      </c>
      <c r="D49" s="482">
        <v>21.197579015869881</v>
      </c>
      <c r="E49" s="482">
        <v>4.8723100975285067</v>
      </c>
      <c r="F49" s="482">
        <v>3.5990409864850714</v>
      </c>
      <c r="G49" s="482">
        <v>1.8910294841529476</v>
      </c>
      <c r="H49" s="482">
        <v>47.457406257554666</v>
      </c>
      <c r="I49" s="482">
        <v>1.2956467717053453</v>
      </c>
      <c r="J49" s="482">
        <v>8.5669311613681263</v>
      </c>
      <c r="K49" s="482">
        <v>67.767830000020254</v>
      </c>
      <c r="L49" s="482">
        <v>57.111171808882453</v>
      </c>
      <c r="M49" s="482">
        <v>45.537350240204759</v>
      </c>
      <c r="N49" s="482">
        <v>54.065386715112936</v>
      </c>
      <c r="O49" s="482">
        <v>84.085033304540275</v>
      </c>
      <c r="P49" s="482">
        <v>37.34662826186667</v>
      </c>
      <c r="Q49" s="110"/>
      <c r="R49" s="110"/>
      <c r="S49" s="110"/>
      <c r="T49" s="110"/>
      <c r="U49" s="110"/>
      <c r="V49" s="110"/>
      <c r="W49" s="110"/>
      <c r="X49" s="110"/>
      <c r="Y49" s="110"/>
      <c r="Z49" s="110"/>
      <c r="AA49" s="110"/>
      <c r="AB49" s="110"/>
      <c r="AC49" s="110"/>
      <c r="AD49" s="110"/>
    </row>
    <row r="50" spans="1:30" s="105" customFormat="1" ht="14.25" customHeight="1">
      <c r="A50" s="238">
        <v>2022</v>
      </c>
      <c r="B50" s="272" t="s">
        <v>231</v>
      </c>
      <c r="C50" s="487">
        <v>22.050663074632919</v>
      </c>
      <c r="D50" s="487">
        <v>21.692047078429617</v>
      </c>
      <c r="E50" s="476">
        <v>4.574135952029418</v>
      </c>
      <c r="F50" s="476">
        <v>3.3496044424356803</v>
      </c>
      <c r="G50" s="476">
        <v>1.7456009277941154</v>
      </c>
      <c r="H50" s="476">
        <v>47.886356201367057</v>
      </c>
      <c r="I50" s="476">
        <v>0.55278312579399802</v>
      </c>
      <c r="J50" s="476">
        <v>3.0177296704235292</v>
      </c>
      <c r="K50" s="476">
        <v>93.17069176219745</v>
      </c>
      <c r="L50" s="476">
        <v>76.000993618145557</v>
      </c>
      <c r="M50" s="476">
        <v>46.53400041124921</v>
      </c>
      <c r="N50" s="476">
        <v>54.856414776468135</v>
      </c>
      <c r="O50" s="476">
        <v>80.685606862975106</v>
      </c>
      <c r="P50" s="476">
        <v>36.970880886265597</v>
      </c>
      <c r="Q50" s="197"/>
      <c r="R50" s="110"/>
      <c r="S50" s="110"/>
      <c r="T50" s="110"/>
      <c r="U50" s="110"/>
      <c r="V50" s="110"/>
      <c r="W50" s="110"/>
      <c r="X50" s="110"/>
      <c r="Y50" s="110"/>
      <c r="Z50" s="110"/>
      <c r="AA50" s="110"/>
      <c r="AB50" s="110"/>
      <c r="AC50" s="110"/>
      <c r="AD50" s="110"/>
    </row>
    <row r="51" spans="1:30" s="105" customFormat="1" ht="14.25" customHeight="1">
      <c r="A51" s="239"/>
      <c r="B51" s="273" t="s">
        <v>232</v>
      </c>
      <c r="C51" s="479">
        <v>21.532996298120928</v>
      </c>
      <c r="D51" s="479">
        <v>21.195586055979664</v>
      </c>
      <c r="E51" s="479">
        <v>5.1927935034035189</v>
      </c>
      <c r="F51" s="479">
        <v>3.6208271513294719</v>
      </c>
      <c r="G51" s="479">
        <v>1.9750023645087822</v>
      </c>
      <c r="H51" s="479">
        <v>45.454387023594492</v>
      </c>
      <c r="I51" s="479">
        <v>0.69563898235932831</v>
      </c>
      <c r="J51" s="479">
        <v>5.4478398625701319</v>
      </c>
      <c r="K51" s="479">
        <v>89.277027121779568</v>
      </c>
      <c r="L51" s="479">
        <v>71.221819954671687</v>
      </c>
      <c r="M51" s="479">
        <v>45.452860057273156</v>
      </c>
      <c r="N51" s="479">
        <v>54.762183154511945</v>
      </c>
      <c r="O51" s="479">
        <v>95.271752157355621</v>
      </c>
      <c r="P51" s="479">
        <v>37.318636865806226</v>
      </c>
      <c r="Q51" s="110"/>
      <c r="R51" s="110"/>
      <c r="S51" s="110"/>
      <c r="T51" s="110"/>
      <c r="U51" s="110"/>
      <c r="V51" s="110"/>
      <c r="W51" s="110"/>
      <c r="X51" s="110"/>
      <c r="Y51" s="110"/>
      <c r="Z51" s="110"/>
      <c r="AA51" s="110"/>
      <c r="AB51" s="110"/>
      <c r="AC51" s="110"/>
      <c r="AD51" s="110"/>
    </row>
    <row r="52" spans="1:30" s="105" customFormat="1" ht="14.25" customHeight="1">
      <c r="A52" s="239"/>
      <c r="B52" s="273" t="s">
        <v>233</v>
      </c>
      <c r="C52" s="488">
        <v>20.071870913491203</v>
      </c>
      <c r="D52" s="488">
        <v>19.731695756408467</v>
      </c>
      <c r="E52" s="488">
        <v>5.4959123246955448</v>
      </c>
      <c r="F52" s="488">
        <v>3.3062114874412476</v>
      </c>
      <c r="G52" s="488">
        <v>1.9792657272419623</v>
      </c>
      <c r="H52" s="488">
        <v>40.134932845032203</v>
      </c>
      <c r="I52" s="488">
        <v>1.1283774896265979</v>
      </c>
      <c r="J52" s="488">
        <v>8.3917022200777982</v>
      </c>
      <c r="K52" s="488">
        <v>79.849778887826957</v>
      </c>
      <c r="L52" s="488">
        <v>59.646279945798433</v>
      </c>
      <c r="M52" s="488">
        <v>44.202687996128496</v>
      </c>
      <c r="N52" s="488">
        <v>51.906990218256425</v>
      </c>
      <c r="O52" s="488">
        <v>84.51849740856342</v>
      </c>
      <c r="P52" s="488">
        <v>36.435485570385239</v>
      </c>
      <c r="Q52" s="110"/>
      <c r="R52" s="110"/>
      <c r="S52" s="110"/>
      <c r="T52" s="110"/>
      <c r="U52" s="110"/>
      <c r="V52" s="110"/>
      <c r="W52" s="110"/>
      <c r="X52" s="110"/>
      <c r="Y52" s="110"/>
      <c r="Z52" s="110"/>
      <c r="AA52" s="110"/>
      <c r="AB52" s="110"/>
      <c r="AC52" s="110"/>
      <c r="AD52" s="110"/>
    </row>
    <row r="53" spans="1:30" s="105" customFormat="1" ht="14.25" customHeight="1">
      <c r="A53" s="240"/>
      <c r="B53" s="274" t="s">
        <v>234</v>
      </c>
      <c r="C53" s="489">
        <v>20.904607499621285</v>
      </c>
      <c r="D53" s="489">
        <v>20.645709284784385</v>
      </c>
      <c r="E53" s="489">
        <v>5.5394785640193751</v>
      </c>
      <c r="F53" s="489">
        <v>3.3413202701551037</v>
      </c>
      <c r="G53" s="489">
        <v>2.0771673898123217</v>
      </c>
      <c r="H53" s="489">
        <v>37.833933239931532</v>
      </c>
      <c r="I53" s="489">
        <v>1.2803241424201348</v>
      </c>
      <c r="J53" s="489">
        <v>9.2507455318171736</v>
      </c>
      <c r="K53" s="489">
        <v>80.200427413104322</v>
      </c>
      <c r="L53" s="489">
        <v>57.666810993405527</v>
      </c>
      <c r="M53" s="489">
        <v>43.741358498924747</v>
      </c>
      <c r="N53" s="489">
        <v>51.775686998570627</v>
      </c>
      <c r="O53" s="489">
        <v>94.943890877929704</v>
      </c>
      <c r="P53" s="489">
        <v>36.522893109844624</v>
      </c>
      <c r="Q53" s="110"/>
      <c r="R53" s="110"/>
      <c r="S53" s="110"/>
      <c r="T53" s="110"/>
      <c r="U53" s="110"/>
      <c r="V53" s="110"/>
      <c r="W53" s="110"/>
      <c r="X53" s="110"/>
      <c r="Y53" s="110"/>
      <c r="Z53" s="110"/>
      <c r="AA53" s="110"/>
      <c r="AB53" s="110"/>
      <c r="AC53" s="110"/>
      <c r="AD53" s="110"/>
    </row>
    <row r="54" spans="1:30" s="105" customFormat="1" ht="14.25" customHeight="1">
      <c r="A54" s="238">
        <v>2023</v>
      </c>
      <c r="B54" s="272" t="s">
        <v>231</v>
      </c>
      <c r="C54" s="490">
        <v>21.26</v>
      </c>
      <c r="D54" s="490">
        <v>20.95</v>
      </c>
      <c r="E54" s="490">
        <v>4.7468288538782355</v>
      </c>
      <c r="F54" s="490">
        <v>3.1540796302598464</v>
      </c>
      <c r="G54" s="490">
        <v>1.8673582786676004</v>
      </c>
      <c r="H54" s="490">
        <v>40.795461828154302</v>
      </c>
      <c r="I54" s="490">
        <v>2.1864078113312999</v>
      </c>
      <c r="J54" s="490">
        <v>14.684210517511293</v>
      </c>
      <c r="K54" s="490">
        <v>80.077412774158546</v>
      </c>
      <c r="L54" s="490">
        <v>43.282686811198083</v>
      </c>
      <c r="M54" s="490">
        <v>48.083616291245285</v>
      </c>
      <c r="N54" s="490">
        <v>56.958346885605252</v>
      </c>
      <c r="O54" s="490">
        <v>94.273735622106344</v>
      </c>
      <c r="P54" s="490">
        <v>37.405130596214093</v>
      </c>
      <c r="Q54" s="110"/>
      <c r="R54" s="110"/>
      <c r="S54" s="110"/>
      <c r="T54" s="110"/>
      <c r="U54" s="110"/>
      <c r="V54" s="110"/>
      <c r="W54" s="110"/>
      <c r="X54" s="110"/>
      <c r="Y54" s="110"/>
      <c r="Z54" s="110"/>
      <c r="AA54" s="110"/>
      <c r="AB54" s="110"/>
      <c r="AC54" s="110"/>
      <c r="AD54" s="110"/>
    </row>
    <row r="55" spans="1:30" s="105" customFormat="1" ht="14.25" customHeight="1">
      <c r="A55" s="239"/>
      <c r="B55" s="273" t="s">
        <v>232</v>
      </c>
      <c r="C55" s="488">
        <v>20.472103014302608</v>
      </c>
      <c r="D55" s="488">
        <v>20.181159500998767</v>
      </c>
      <c r="E55" s="488">
        <v>4.6946879856438262</v>
      </c>
      <c r="F55" s="488">
        <v>2.870572826003202</v>
      </c>
      <c r="G55" s="488">
        <v>1.8007047111510521</v>
      </c>
      <c r="H55" s="488">
        <v>37.270195870340075</v>
      </c>
      <c r="I55" s="488">
        <v>2.1105870748723956</v>
      </c>
      <c r="J55" s="488">
        <v>13.791572250955916</v>
      </c>
      <c r="K55" s="488">
        <v>82.032428252847893</v>
      </c>
      <c r="L55" s="488">
        <v>45.115737491851306</v>
      </c>
      <c r="M55" s="488">
        <v>45.91084375266486</v>
      </c>
      <c r="N55" s="488">
        <v>55.361647898175939</v>
      </c>
      <c r="O55" s="488">
        <v>92.045352089151109</v>
      </c>
      <c r="P55" s="488">
        <v>40.327645367947966</v>
      </c>
      <c r="Q55" s="110"/>
      <c r="R55" s="110"/>
      <c r="S55" s="110"/>
      <c r="T55" s="110"/>
      <c r="U55" s="110"/>
      <c r="V55" s="110"/>
      <c r="W55" s="110"/>
      <c r="X55" s="110"/>
      <c r="Y55" s="110"/>
      <c r="Z55" s="110"/>
      <c r="AA55" s="110"/>
      <c r="AB55" s="110"/>
      <c r="AC55" s="110"/>
      <c r="AD55" s="110"/>
    </row>
    <row r="56" spans="1:30" s="105" customFormat="1" ht="14.25" customHeight="1">
      <c r="A56" s="239"/>
      <c r="B56" s="273" t="s">
        <v>233</v>
      </c>
      <c r="C56" s="488">
        <v>19.640604260223036</v>
      </c>
      <c r="D56" s="488">
        <v>19.355755217322379</v>
      </c>
      <c r="E56" s="488">
        <v>4.296500185068246</v>
      </c>
      <c r="F56" s="488">
        <v>2.5894895066217467</v>
      </c>
      <c r="G56" s="488">
        <v>1.5696193695883962</v>
      </c>
      <c r="H56" s="488">
        <v>39.38498821583854</v>
      </c>
      <c r="I56" s="488">
        <v>2.1731177007832816</v>
      </c>
      <c r="J56" s="488">
        <v>14.160096811119496</v>
      </c>
      <c r="K56" s="488">
        <v>80.750978947097764</v>
      </c>
      <c r="L56" s="488">
        <v>44.957964178223413</v>
      </c>
      <c r="M56" s="488">
        <v>45.53421862188209</v>
      </c>
      <c r="N56" s="488">
        <v>55.290307930385509</v>
      </c>
      <c r="O56" s="488">
        <v>89.39434183805723</v>
      </c>
      <c r="P56" s="488">
        <v>42.891291770853421</v>
      </c>
      <c r="Q56" s="110"/>
      <c r="R56" s="110"/>
      <c r="S56" s="110"/>
      <c r="T56" s="110"/>
      <c r="U56" s="110"/>
      <c r="V56" s="110"/>
      <c r="W56" s="110"/>
      <c r="X56" s="110"/>
      <c r="Y56" s="110"/>
      <c r="Z56" s="110"/>
      <c r="AA56" s="110"/>
      <c r="AB56" s="110"/>
      <c r="AC56" s="110"/>
      <c r="AD56" s="110"/>
    </row>
    <row r="57" spans="1:30" s="105" customFormat="1" ht="14.25" customHeight="1">
      <c r="A57" s="240"/>
      <c r="B57" s="274" t="s">
        <v>234</v>
      </c>
      <c r="C57" s="491">
        <v>20.080617911573022</v>
      </c>
      <c r="D57" s="491">
        <v>19.856140480182415</v>
      </c>
      <c r="E57" s="491">
        <v>4.4411583820732385</v>
      </c>
      <c r="F57" s="491">
        <v>2.5909872048496325</v>
      </c>
      <c r="G57" s="491">
        <v>1.6251219043752028</v>
      </c>
      <c r="H57" s="491">
        <v>37.277887697268028</v>
      </c>
      <c r="I57" s="491">
        <v>2.1055674634444301</v>
      </c>
      <c r="J57" s="491">
        <v>13.584053391940298</v>
      </c>
      <c r="K57" s="491">
        <v>82.351252290198346</v>
      </c>
      <c r="L57" s="491">
        <v>46.015399698272766</v>
      </c>
      <c r="M57" s="491">
        <v>43.537973917091762</v>
      </c>
      <c r="N57" s="491">
        <v>53.116710163599436</v>
      </c>
      <c r="O57" s="491">
        <v>91.863303982716815</v>
      </c>
      <c r="P57" s="491">
        <v>43.739482819484046</v>
      </c>
      <c r="Q57" s="110"/>
      <c r="R57" s="110"/>
      <c r="S57" s="110"/>
      <c r="T57" s="110"/>
      <c r="U57" s="110"/>
      <c r="V57" s="110"/>
      <c r="W57" s="110"/>
      <c r="X57" s="110"/>
      <c r="Y57" s="110"/>
      <c r="Z57" s="110"/>
      <c r="AA57" s="110"/>
      <c r="AB57" s="110"/>
      <c r="AC57" s="110"/>
      <c r="AD57" s="110"/>
    </row>
    <row r="58" spans="1:30" s="105" customFormat="1" ht="14.25" customHeight="1">
      <c r="A58" s="238">
        <v>2024</v>
      </c>
      <c r="B58" s="272" t="s">
        <v>231</v>
      </c>
      <c r="C58" s="490">
        <v>20.906255964876536</v>
      </c>
      <c r="D58" s="490">
        <v>20.634627474324233</v>
      </c>
      <c r="E58" s="490">
        <v>4.1443670433417275</v>
      </c>
      <c r="F58" s="490">
        <v>2.4823702101721397</v>
      </c>
      <c r="G58" s="490">
        <v>1.5465165696265526</v>
      </c>
      <c r="H58" s="490">
        <v>37.700002872685545</v>
      </c>
      <c r="I58" s="490">
        <v>2.0283235032209102</v>
      </c>
      <c r="J58" s="490">
        <v>12.994538407139292</v>
      </c>
      <c r="K58" s="490">
        <v>79.224259212212388</v>
      </c>
      <c r="L58" s="490">
        <v>45.731963647831293</v>
      </c>
      <c r="M58" s="490">
        <v>43.704516200235069</v>
      </c>
      <c r="N58" s="490">
        <v>53.874359767031891</v>
      </c>
      <c r="O58" s="490">
        <v>91.731967496144179</v>
      </c>
      <c r="P58" s="490">
        <v>43.434205100902297</v>
      </c>
      <c r="Q58" s="110"/>
      <c r="R58" s="110"/>
      <c r="S58" s="110"/>
      <c r="T58" s="110"/>
      <c r="U58" s="110"/>
      <c r="V58" s="110"/>
      <c r="W58" s="110"/>
      <c r="X58" s="110"/>
      <c r="Y58" s="110"/>
      <c r="Z58" s="110"/>
      <c r="AA58" s="110"/>
      <c r="AB58" s="110"/>
      <c r="AC58" s="110"/>
      <c r="AD58" s="110"/>
    </row>
    <row r="59" spans="1:30" s="105" customFormat="1" ht="14.25" customHeight="1">
      <c r="A59" s="239"/>
      <c r="B59" s="273" t="s">
        <v>232</v>
      </c>
      <c r="C59" s="488">
        <v>20.884498075007095</v>
      </c>
      <c r="D59" s="488">
        <v>20.639233904712899</v>
      </c>
      <c r="E59" s="488">
        <v>3.9168355140353328</v>
      </c>
      <c r="F59" s="488">
        <v>2.3665070249237674</v>
      </c>
      <c r="G59" s="488">
        <v>1.4368050730597164</v>
      </c>
      <c r="H59" s="488">
        <v>39.28583106124519</v>
      </c>
      <c r="I59" s="488">
        <v>1.9461480602330172</v>
      </c>
      <c r="J59" s="488">
        <v>12.260662090951504</v>
      </c>
      <c r="K59" s="488">
        <v>82.371577783215344</v>
      </c>
      <c r="L59" s="488">
        <v>47.348206070248864</v>
      </c>
      <c r="M59" s="488">
        <v>42.701663320478573</v>
      </c>
      <c r="N59" s="488">
        <v>53.332728102327934</v>
      </c>
      <c r="O59" s="488">
        <v>90.888999978451807</v>
      </c>
      <c r="P59" s="488">
        <v>46.137416409363645</v>
      </c>
      <c r="Q59" s="110"/>
      <c r="R59" s="110"/>
      <c r="S59" s="110"/>
      <c r="T59" s="110"/>
      <c r="U59" s="110"/>
      <c r="V59" s="110"/>
      <c r="W59" s="110"/>
      <c r="X59" s="110"/>
      <c r="Y59" s="110"/>
      <c r="Z59" s="110"/>
      <c r="AA59" s="110"/>
      <c r="AB59" s="110"/>
      <c r="AC59" s="110"/>
      <c r="AD59" s="110"/>
    </row>
    <row r="60" spans="1:30" s="105" customFormat="1" ht="14.25" customHeight="1">
      <c r="A60" s="239"/>
      <c r="B60" s="273" t="s">
        <v>233</v>
      </c>
      <c r="C60" s="488">
        <v>21.714685944113779</v>
      </c>
      <c r="D60" s="488">
        <v>21.503833713721232</v>
      </c>
      <c r="E60" s="488">
        <v>3.4009852222672561</v>
      </c>
      <c r="F60" s="488">
        <v>2.2726097375352463</v>
      </c>
      <c r="G60" s="488">
        <v>1.2992575242858972</v>
      </c>
      <c r="H60" s="488">
        <v>42.829712342295778</v>
      </c>
      <c r="I60" s="488">
        <v>1.8636697027022091</v>
      </c>
      <c r="J60" s="488">
        <v>11.428183571159197</v>
      </c>
      <c r="K60" s="488">
        <v>84.851995628944096</v>
      </c>
      <c r="L60" s="488">
        <v>47.569007565342552</v>
      </c>
      <c r="M60" s="488">
        <v>42.984915061943092</v>
      </c>
      <c r="N60" s="488">
        <v>54.121091740014172</v>
      </c>
      <c r="O60" s="488">
        <v>97.618003319070993</v>
      </c>
      <c r="P60" s="488">
        <v>46.755578285947017</v>
      </c>
      <c r="Q60" s="110"/>
      <c r="R60" s="110"/>
      <c r="S60" s="110"/>
      <c r="T60" s="110"/>
      <c r="U60" s="110"/>
      <c r="V60" s="110"/>
      <c r="W60" s="110"/>
      <c r="X60" s="110"/>
      <c r="Y60" s="110"/>
      <c r="Z60" s="110"/>
      <c r="AA60" s="110"/>
      <c r="AB60" s="110"/>
      <c r="AC60" s="110"/>
      <c r="AD60" s="110"/>
    </row>
    <row r="61" spans="1:30" s="105" customFormat="1" ht="14.25" customHeight="1">
      <c r="A61" s="240"/>
      <c r="B61" s="274" t="s">
        <v>234</v>
      </c>
      <c r="C61" s="491">
        <v>20.461920905759332</v>
      </c>
      <c r="D61" s="491">
        <v>20.304100274951743</v>
      </c>
      <c r="E61" s="491">
        <v>3.049652313785304</v>
      </c>
      <c r="F61" s="491">
        <v>2.0022189478347037</v>
      </c>
      <c r="G61" s="491">
        <v>1.0923684685959436</v>
      </c>
      <c r="H61" s="491">
        <v>45.442107129328505</v>
      </c>
      <c r="I61" s="491">
        <v>1.9001303613942824</v>
      </c>
      <c r="J61" s="491">
        <v>11.833838735357311</v>
      </c>
      <c r="K61" s="491">
        <v>82.559385432806152</v>
      </c>
      <c r="L61" s="491">
        <v>47.981311787213173</v>
      </c>
      <c r="M61" s="491">
        <v>43.970535896685313</v>
      </c>
      <c r="N61" s="491">
        <v>55.29174166139579</v>
      </c>
      <c r="O61" s="491">
        <v>98.166286710783424</v>
      </c>
      <c r="P61" s="491">
        <v>46.15282376174018</v>
      </c>
      <c r="Q61" s="110"/>
      <c r="R61" s="110"/>
      <c r="S61" s="110"/>
      <c r="T61" s="110"/>
      <c r="U61" s="110"/>
      <c r="V61" s="110"/>
      <c r="W61" s="110"/>
      <c r="X61" s="110"/>
      <c r="Y61" s="110"/>
      <c r="Z61" s="110"/>
      <c r="AA61" s="110"/>
      <c r="AB61" s="110"/>
      <c r="AC61" s="110"/>
      <c r="AD61" s="110"/>
    </row>
    <row r="62" spans="1:30" s="105" customFormat="1" ht="14.25" customHeight="1">
      <c r="A62" s="238">
        <v>2025</v>
      </c>
      <c r="B62" s="272" t="s">
        <v>231</v>
      </c>
      <c r="C62" s="490">
        <v>21.380245077499843</v>
      </c>
      <c r="D62" s="490">
        <v>21.198105900641071</v>
      </c>
      <c r="E62" s="490">
        <v>3.11663865325681</v>
      </c>
      <c r="F62" s="490">
        <v>2.0223009913309626</v>
      </c>
      <c r="G62" s="490">
        <v>1.1138988298995032</v>
      </c>
      <c r="H62" s="490">
        <v>44.919236321671448</v>
      </c>
      <c r="I62" s="490">
        <v>1.7416157733455648</v>
      </c>
      <c r="J62" s="490">
        <v>10.592689815196298</v>
      </c>
      <c r="K62" s="490">
        <v>77.953641920360724</v>
      </c>
      <c r="L62" s="490">
        <v>50.172987192630423</v>
      </c>
      <c r="M62" s="490">
        <v>40.37824977406548</v>
      </c>
      <c r="N62" s="490">
        <v>50.003231870676402</v>
      </c>
      <c r="O62" s="490">
        <v>85.612513921039763</v>
      </c>
      <c r="P62" s="490">
        <v>46.534568698955276</v>
      </c>
      <c r="Q62" s="110"/>
      <c r="R62" s="110"/>
      <c r="S62" s="110"/>
      <c r="T62" s="110"/>
      <c r="U62" s="110"/>
      <c r="V62" s="110"/>
      <c r="W62" s="110"/>
      <c r="X62" s="110"/>
      <c r="Y62" s="110"/>
      <c r="Z62" s="110"/>
      <c r="AA62" s="110"/>
      <c r="AB62" s="110"/>
      <c r="AC62" s="110"/>
      <c r="AD62" s="110"/>
    </row>
    <row r="63" spans="1:30" s="105" customFormat="1" ht="14.25" customHeight="1">
      <c r="A63" s="239"/>
      <c r="B63" s="273" t="s">
        <v>232</v>
      </c>
      <c r="C63" s="488">
        <v>20.667224140588988</v>
      </c>
      <c r="D63" s="488">
        <v>20.511102078236902</v>
      </c>
      <c r="E63" s="488">
        <v>2.7950995990142018</v>
      </c>
      <c r="F63" s="488">
        <v>1.9090124360818059</v>
      </c>
      <c r="G63" s="488">
        <v>0.98865924782615155</v>
      </c>
      <c r="H63" s="488">
        <v>48.21095823475374</v>
      </c>
      <c r="I63" s="488">
        <v>1.5879019148306668</v>
      </c>
      <c r="J63" s="488">
        <v>9.514053316463535</v>
      </c>
      <c r="K63" s="488">
        <v>82.511384013475293</v>
      </c>
      <c r="L63" s="488">
        <v>53.414868311502502</v>
      </c>
      <c r="M63" s="488">
        <v>40.834614922645116</v>
      </c>
      <c r="N63" s="488">
        <v>50.855896364652217</v>
      </c>
      <c r="O63" s="488">
        <v>88.936578127574222</v>
      </c>
      <c r="P63" s="488">
        <v>49.673019100691938</v>
      </c>
      <c r="Q63" s="110"/>
      <c r="R63" s="110"/>
      <c r="S63" s="110"/>
      <c r="T63" s="110"/>
      <c r="U63" s="110"/>
      <c r="V63" s="110"/>
      <c r="W63" s="110"/>
      <c r="X63" s="110"/>
      <c r="Y63" s="110"/>
      <c r="Z63" s="110"/>
      <c r="AA63" s="110"/>
      <c r="AB63" s="110"/>
      <c r="AC63" s="110"/>
      <c r="AD63" s="110"/>
    </row>
    <row r="64" spans="1:30" s="105" customFormat="1" ht="14.25" customHeight="1">
      <c r="A64" s="239"/>
      <c r="B64" s="273" t="s">
        <v>233</v>
      </c>
      <c r="C64" s="488">
        <v>19.817464489366731</v>
      </c>
      <c r="D64" s="488">
        <v>19.651508788531107</v>
      </c>
      <c r="E64" s="488">
        <v>2.9227379692794031</v>
      </c>
      <c r="F64" s="488">
        <v>1.889197115011449</v>
      </c>
      <c r="G64" s="488">
        <v>1.0003853043145983</v>
      </c>
      <c r="H64" s="488">
        <v>47.047065847941681</v>
      </c>
      <c r="I64" s="488">
        <v>1.607749183775798</v>
      </c>
      <c r="J64" s="488">
        <v>9.805106073143099</v>
      </c>
      <c r="K64" s="488">
        <v>81.984160236261246</v>
      </c>
      <c r="L64" s="488">
        <v>52.663934105814491</v>
      </c>
      <c r="M64" s="488">
        <v>41.501486781979416</v>
      </c>
      <c r="N64" s="488">
        <v>52.131845233371379</v>
      </c>
      <c r="O64" s="488">
        <v>93.32585477547471</v>
      </c>
      <c r="P64" s="488">
        <v>49.361514136399286</v>
      </c>
      <c r="Q64" s="110"/>
      <c r="R64" s="110"/>
      <c r="S64" s="110"/>
      <c r="T64" s="110"/>
      <c r="U64" s="110"/>
      <c r="V64" s="110"/>
      <c r="W64" s="110"/>
      <c r="X64" s="110"/>
      <c r="Y64" s="110"/>
      <c r="Z64" s="110"/>
      <c r="AA64" s="110"/>
      <c r="AB64" s="110"/>
      <c r="AC64" s="110"/>
      <c r="AD64" s="110"/>
    </row>
    <row r="65" spans="1:30" s="105" customFormat="1" ht="14.25" customHeight="1">
      <c r="A65" s="240"/>
      <c r="B65" s="274" t="s">
        <v>234</v>
      </c>
      <c r="C65" s="491">
        <v>19.180079227577764</v>
      </c>
      <c r="D65" s="491">
        <v>19.1300547804363</v>
      </c>
      <c r="E65" s="491">
        <v>2.3200063627411338</v>
      </c>
      <c r="F65" s="491">
        <v>1.652569780409836</v>
      </c>
      <c r="G65" s="491">
        <v>0.77718436344868069</v>
      </c>
      <c r="H65" s="491">
        <v>52.971162085758372</v>
      </c>
      <c r="I65" s="491">
        <v>1.5184859253972514</v>
      </c>
      <c r="J65" s="491">
        <v>9.745207738303348</v>
      </c>
      <c r="K65" s="491">
        <v>82.301266726559135</v>
      </c>
      <c r="L65" s="491">
        <v>54.482219082122086</v>
      </c>
      <c r="M65" s="491">
        <v>39.242521977201768</v>
      </c>
      <c r="N65" s="491">
        <v>49.180012201083223</v>
      </c>
      <c r="O65" s="491">
        <v>87.01933299588292</v>
      </c>
      <c r="P65" s="491">
        <v>50.531455436555973</v>
      </c>
      <c r="Q65" s="110"/>
      <c r="R65" s="110"/>
      <c r="S65" s="110"/>
      <c r="T65" s="110"/>
      <c r="U65" s="110"/>
      <c r="V65" s="110"/>
      <c r="W65" s="110"/>
      <c r="X65" s="110"/>
      <c r="Y65" s="110"/>
      <c r="Z65" s="110"/>
      <c r="AA65" s="110"/>
      <c r="AB65" s="110"/>
      <c r="AC65" s="110"/>
      <c r="AD65" s="110"/>
    </row>
    <row r="66" spans="1:30" s="105" customFormat="1" ht="14.25" customHeight="1">
      <c r="A66" s="675">
        <v>2026</v>
      </c>
      <c r="B66" s="676" t="s">
        <v>231</v>
      </c>
      <c r="C66" s="681">
        <v>19.534575733885337</v>
      </c>
      <c r="D66" s="681">
        <v>19.483124881145297</v>
      </c>
      <c r="E66" s="681">
        <v>2.2329963986995507</v>
      </c>
      <c r="F66" s="681">
        <v>1.6031610842109967</v>
      </c>
      <c r="G66" s="681">
        <v>0.74638495042706399</v>
      </c>
      <c r="H66" s="681">
        <v>53.442922375177226</v>
      </c>
      <c r="I66" s="681">
        <v>1.319378399496461</v>
      </c>
      <c r="J66" s="681">
        <v>8.1083971630777665</v>
      </c>
      <c r="K66" s="681">
        <v>84.578696548870198</v>
      </c>
      <c r="L66" s="681">
        <v>56.479924467720899</v>
      </c>
      <c r="M66" s="681">
        <v>39.080223409956503</v>
      </c>
      <c r="N66" s="681">
        <v>49.91013442712876</v>
      </c>
      <c r="O66" s="681">
        <v>83.028180095953431</v>
      </c>
      <c r="P66" s="681">
        <v>52.768869564872787</v>
      </c>
      <c r="Q66" s="110"/>
      <c r="R66" s="110"/>
      <c r="S66" s="110"/>
      <c r="T66" s="110"/>
      <c r="U66" s="110"/>
      <c r="V66" s="110"/>
      <c r="W66" s="110"/>
      <c r="X66" s="110"/>
      <c r="Y66" s="110"/>
      <c r="Z66" s="110"/>
      <c r="AA66" s="110"/>
      <c r="AB66" s="110"/>
      <c r="AC66" s="110"/>
      <c r="AD66" s="110"/>
    </row>
    <row r="67" spans="1:30">
      <c r="A67" s="201"/>
      <c r="B67" s="201"/>
      <c r="C67" s="202"/>
      <c r="D67" s="202"/>
      <c r="E67" s="202"/>
      <c r="F67" s="202"/>
      <c r="G67" s="202"/>
      <c r="H67" s="202"/>
      <c r="I67" s="202"/>
      <c r="J67" s="202"/>
      <c r="K67" s="202"/>
      <c r="L67" s="202"/>
      <c r="M67" s="202"/>
      <c r="N67" s="202"/>
      <c r="O67" s="202"/>
      <c r="P67" s="202"/>
    </row>
    <row r="68" spans="1:30">
      <c r="A68" s="171" t="s">
        <v>195</v>
      </c>
    </row>
    <row r="69" spans="1:30">
      <c r="A69" s="79"/>
      <c r="C69" s="71"/>
      <c r="D69" s="71"/>
      <c r="E69" s="71"/>
      <c r="F69" s="71"/>
      <c r="G69" s="71"/>
      <c r="H69" s="71"/>
      <c r="I69" s="71"/>
      <c r="J69" s="71"/>
      <c r="K69" s="71"/>
      <c r="L69" s="71"/>
      <c r="M69" s="71"/>
      <c r="N69" s="71"/>
      <c r="O69" s="71"/>
      <c r="P69" s="71"/>
    </row>
    <row r="70" spans="1:30">
      <c r="A70" s="161" t="s">
        <v>244</v>
      </c>
      <c r="C70" s="189"/>
      <c r="D70" s="189"/>
      <c r="E70" s="189"/>
      <c r="F70" s="189"/>
      <c r="G70" s="71"/>
      <c r="H70" s="71"/>
      <c r="I70" s="71"/>
      <c r="J70" s="71"/>
      <c r="K70" s="71"/>
      <c r="L70" s="71"/>
      <c r="M70" s="71"/>
      <c r="N70" s="71"/>
      <c r="O70" s="71"/>
      <c r="P70" s="71"/>
    </row>
    <row r="71" spans="1:30">
      <c r="A71" s="161" t="s">
        <v>245</v>
      </c>
    </row>
    <row r="72" spans="1:30">
      <c r="A72" s="168" t="s">
        <v>168</v>
      </c>
    </row>
  </sheetData>
  <sheetProtection sheet="1" insertColumns="0" insertRows="0" deleteColumns="0" deleteRows="0"/>
  <mergeCells count="8">
    <mergeCell ref="A1:P1"/>
    <mergeCell ref="U2:AA2"/>
    <mergeCell ref="M4:P4"/>
    <mergeCell ref="F4:H4"/>
    <mergeCell ref="A3:P3"/>
    <mergeCell ref="A4:B5"/>
    <mergeCell ref="C4:E4"/>
    <mergeCell ref="I4:L4"/>
  </mergeCells>
  <printOptions horizontalCentered="1"/>
  <pageMargins left="0.43" right="0.41" top="0.75" bottom="0.75" header="0.3" footer="0.3"/>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77"/>
  <sheetViews>
    <sheetView zoomScaleNormal="100" workbookViewId="0">
      <pane ySplit="3" topLeftCell="A55" activePane="bottomLeft" state="frozen"/>
      <selection activeCell="G153" sqref="G153"/>
      <selection pane="bottomLeft" activeCell="C63" sqref="C63"/>
    </sheetView>
  </sheetViews>
  <sheetFormatPr defaultColWidth="9.1796875" defaultRowHeight="13"/>
  <cols>
    <col min="1" max="1" width="6.81640625" style="65" customWidth="1"/>
    <col min="2" max="2" width="8.54296875" style="65" customWidth="1"/>
    <col min="3" max="5" width="25.81640625" style="65" customWidth="1"/>
    <col min="6" max="16384" width="9.1796875" style="65"/>
  </cols>
  <sheetData>
    <row r="1" spans="1:8" ht="15.5">
      <c r="A1" s="709" t="s">
        <v>268</v>
      </c>
      <c r="B1" s="709"/>
      <c r="C1" s="709"/>
      <c r="D1" s="709"/>
      <c r="E1" s="709"/>
    </row>
    <row r="2" spans="1:8" ht="14">
      <c r="A2" s="760" t="s">
        <v>97</v>
      </c>
      <c r="B2" s="760"/>
      <c r="C2" s="760"/>
      <c r="D2" s="760"/>
      <c r="E2" s="760"/>
    </row>
    <row r="3" spans="1:8" s="105" customFormat="1" ht="24" customHeight="1">
      <c r="A3" s="717" t="s">
        <v>98</v>
      </c>
      <c r="B3" s="718"/>
      <c r="C3" s="377" t="s">
        <v>269</v>
      </c>
      <c r="D3" s="286" t="s">
        <v>50</v>
      </c>
      <c r="E3" s="286" t="s">
        <v>270</v>
      </c>
    </row>
    <row r="4" spans="1:8" s="105" customFormat="1" ht="14">
      <c r="A4" s="238">
        <v>2011</v>
      </c>
      <c r="B4" s="272" t="s">
        <v>231</v>
      </c>
      <c r="C4" s="451">
        <v>1748.38</v>
      </c>
      <c r="D4" s="451">
        <v>1208.02</v>
      </c>
      <c r="E4" s="492">
        <v>1441.25</v>
      </c>
      <c r="F4" s="104"/>
      <c r="G4" s="104"/>
      <c r="H4" s="104"/>
    </row>
    <row r="5" spans="1:8" s="105" customFormat="1" ht="14">
      <c r="A5" s="239"/>
      <c r="B5" s="273" t="s">
        <v>232</v>
      </c>
      <c r="C5" s="455">
        <v>1808.49</v>
      </c>
      <c r="D5" s="455">
        <v>1267.95</v>
      </c>
      <c r="E5" s="493">
        <v>1485.4</v>
      </c>
      <c r="F5" s="104"/>
      <c r="G5" s="104"/>
      <c r="H5" s="104"/>
    </row>
    <row r="6" spans="1:8" s="105" customFormat="1" ht="14">
      <c r="A6" s="239"/>
      <c r="B6" s="273" t="s">
        <v>233</v>
      </c>
      <c r="C6" s="455">
        <v>1840.59</v>
      </c>
      <c r="D6" s="455">
        <v>1279.53</v>
      </c>
      <c r="E6" s="493">
        <v>1525.06</v>
      </c>
      <c r="F6" s="104"/>
      <c r="G6" s="104"/>
      <c r="H6" s="104"/>
    </row>
    <row r="7" spans="1:8" s="105" customFormat="1" ht="14">
      <c r="A7" s="240"/>
      <c r="B7" s="274" t="s">
        <v>234</v>
      </c>
      <c r="C7" s="459">
        <v>1931.93</v>
      </c>
      <c r="D7" s="459">
        <v>1343.11</v>
      </c>
      <c r="E7" s="494">
        <v>1561.82</v>
      </c>
      <c r="F7" s="104"/>
      <c r="G7" s="104"/>
      <c r="H7" s="104"/>
    </row>
    <row r="8" spans="1:8" s="105" customFormat="1" ht="14">
      <c r="A8" s="239">
        <v>2012</v>
      </c>
      <c r="B8" s="273" t="s">
        <v>231</v>
      </c>
      <c r="C8" s="455">
        <v>2006.58</v>
      </c>
      <c r="D8" s="455">
        <v>1385.16</v>
      </c>
      <c r="E8" s="451">
        <v>1613.21</v>
      </c>
      <c r="F8" s="104"/>
      <c r="G8" s="104"/>
      <c r="H8" s="104"/>
    </row>
    <row r="9" spans="1:8" s="105" customFormat="1" ht="14">
      <c r="A9" s="239"/>
      <c r="B9" s="273" t="s">
        <v>232</v>
      </c>
      <c r="C9" s="455">
        <v>2028.16</v>
      </c>
      <c r="D9" s="455">
        <v>1382.45</v>
      </c>
      <c r="E9" s="455">
        <v>1655.6</v>
      </c>
      <c r="F9" s="104"/>
      <c r="G9" s="104"/>
      <c r="H9" s="104"/>
    </row>
    <row r="10" spans="1:8" s="105" customFormat="1" ht="14">
      <c r="A10" s="239"/>
      <c r="B10" s="273" t="s">
        <v>233</v>
      </c>
      <c r="C10" s="455">
        <v>2071.71</v>
      </c>
      <c r="D10" s="455">
        <v>1402.7</v>
      </c>
      <c r="E10" s="455">
        <v>1691.93</v>
      </c>
      <c r="F10" s="104"/>
      <c r="G10" s="104"/>
      <c r="H10" s="104"/>
    </row>
    <row r="11" spans="1:8" s="105" customFormat="1" ht="14">
      <c r="A11" s="239"/>
      <c r="B11" s="273" t="s">
        <v>234</v>
      </c>
      <c r="C11" s="455">
        <v>2040.47</v>
      </c>
      <c r="D11" s="455">
        <v>1361.58</v>
      </c>
      <c r="E11" s="455">
        <v>1700.54</v>
      </c>
      <c r="F11" s="104"/>
      <c r="G11" s="104"/>
      <c r="H11" s="104"/>
    </row>
    <row r="12" spans="1:8" s="105" customFormat="1" ht="14">
      <c r="A12" s="238">
        <v>2013</v>
      </c>
      <c r="B12" s="247" t="s">
        <v>231</v>
      </c>
      <c r="C12" s="451">
        <v>2121.67</v>
      </c>
      <c r="D12" s="451">
        <v>1428.45</v>
      </c>
      <c r="E12" s="451">
        <v>1707.6</v>
      </c>
      <c r="F12" s="104"/>
      <c r="G12" s="104"/>
      <c r="H12" s="104"/>
    </row>
    <row r="13" spans="1:8" s="105" customFormat="1" ht="14">
      <c r="A13" s="239"/>
      <c r="B13" s="251" t="s">
        <v>232</v>
      </c>
      <c r="C13" s="455">
        <v>2127.4699999999998</v>
      </c>
      <c r="D13" s="455">
        <v>1420.18</v>
      </c>
      <c r="E13" s="455">
        <v>1736.01</v>
      </c>
      <c r="F13" s="104"/>
      <c r="G13" s="104"/>
      <c r="H13" s="104"/>
    </row>
    <row r="14" spans="1:8" s="105" customFormat="1" ht="14">
      <c r="A14" s="239"/>
      <c r="B14" s="251" t="s">
        <v>233</v>
      </c>
      <c r="C14" s="458">
        <v>2140.4899999999998</v>
      </c>
      <c r="D14" s="458">
        <v>1416.18</v>
      </c>
      <c r="E14" s="458">
        <v>1776.03</v>
      </c>
      <c r="F14" s="104"/>
      <c r="G14" s="104"/>
      <c r="H14" s="104"/>
    </row>
    <row r="15" spans="1:8" s="105" customFormat="1" ht="14">
      <c r="A15" s="240"/>
      <c r="B15" s="252" t="s">
        <v>234</v>
      </c>
      <c r="C15" s="462">
        <v>2262.5700000000002</v>
      </c>
      <c r="D15" s="462">
        <v>1535.33</v>
      </c>
      <c r="E15" s="462">
        <v>1799.24</v>
      </c>
      <c r="F15" s="104"/>
      <c r="G15" s="104"/>
      <c r="H15" s="104"/>
    </row>
    <row r="16" spans="1:8" s="105" customFormat="1" ht="14">
      <c r="A16" s="238">
        <v>2014</v>
      </c>
      <c r="B16" s="272" t="s">
        <v>231</v>
      </c>
      <c r="C16" s="458">
        <v>2140.48</v>
      </c>
      <c r="D16" s="458">
        <v>1450.37</v>
      </c>
      <c r="E16" s="458">
        <v>1806.82</v>
      </c>
      <c r="F16" s="104"/>
      <c r="G16" s="104"/>
      <c r="H16" s="104"/>
    </row>
    <row r="17" spans="1:8" s="105" customFormat="1" ht="14">
      <c r="A17" s="239"/>
      <c r="B17" s="273" t="s">
        <v>232</v>
      </c>
      <c r="C17" s="458">
        <v>2119.1999999999998</v>
      </c>
      <c r="D17" s="458">
        <v>1458.86</v>
      </c>
      <c r="E17" s="458">
        <v>1820.4</v>
      </c>
      <c r="F17" s="104"/>
      <c r="G17" s="104"/>
      <c r="H17" s="104"/>
    </row>
    <row r="18" spans="1:8" s="105" customFormat="1" ht="14">
      <c r="A18" s="239"/>
      <c r="B18" s="273" t="s">
        <v>233</v>
      </c>
      <c r="C18" s="458">
        <v>2121.1799999999998</v>
      </c>
      <c r="D18" s="458">
        <v>1491.17</v>
      </c>
      <c r="E18" s="458">
        <v>1866.76</v>
      </c>
      <c r="F18" s="104"/>
      <c r="G18" s="104"/>
      <c r="H18" s="104"/>
    </row>
    <row r="19" spans="1:8" s="105" customFormat="1" ht="14">
      <c r="A19" s="240"/>
      <c r="B19" s="274" t="s">
        <v>234</v>
      </c>
      <c r="C19" s="462">
        <v>2344.9699999999998</v>
      </c>
      <c r="D19" s="462">
        <v>1601.95</v>
      </c>
      <c r="E19" s="462">
        <v>2009.11</v>
      </c>
      <c r="F19" s="104"/>
      <c r="G19" s="104"/>
      <c r="H19" s="104"/>
    </row>
    <row r="20" spans="1:8" s="105" customFormat="1" ht="14">
      <c r="A20" s="239">
        <v>2015</v>
      </c>
      <c r="B20" s="273" t="s">
        <v>231</v>
      </c>
      <c r="C20" s="458">
        <v>2132.1799999999998</v>
      </c>
      <c r="D20" s="458">
        <v>1557.8</v>
      </c>
      <c r="E20" s="454">
        <v>1843.05</v>
      </c>
      <c r="F20" s="104"/>
      <c r="G20" s="104"/>
      <c r="H20" s="104"/>
    </row>
    <row r="21" spans="1:8" s="105" customFormat="1" ht="14">
      <c r="A21" s="239"/>
      <c r="B21" s="251" t="s">
        <v>232</v>
      </c>
      <c r="C21" s="458">
        <v>2176.94</v>
      </c>
      <c r="D21" s="458">
        <v>1584.98</v>
      </c>
      <c r="E21" s="458">
        <v>1908.53</v>
      </c>
      <c r="F21" s="104"/>
      <c r="G21" s="104"/>
      <c r="H21" s="104"/>
    </row>
    <row r="22" spans="1:8" s="105" customFormat="1" ht="14">
      <c r="A22" s="239"/>
      <c r="B22" s="251" t="s">
        <v>233</v>
      </c>
      <c r="C22" s="495">
        <v>2124.5700000000002</v>
      </c>
      <c r="D22" s="495">
        <v>1571.48</v>
      </c>
      <c r="E22" s="458">
        <v>1864.41</v>
      </c>
      <c r="F22" s="104"/>
      <c r="G22" s="104"/>
      <c r="H22" s="104"/>
    </row>
    <row r="23" spans="1:8" s="105" customFormat="1" ht="14">
      <c r="A23" s="240"/>
      <c r="B23" s="252" t="s">
        <v>234</v>
      </c>
      <c r="C23" s="496">
        <v>2262.9299999999998</v>
      </c>
      <c r="D23" s="496">
        <v>1644.71</v>
      </c>
      <c r="E23" s="462">
        <v>1869.26</v>
      </c>
      <c r="F23" s="104"/>
      <c r="G23" s="104"/>
      <c r="H23" s="104"/>
    </row>
    <row r="24" spans="1:8" s="105" customFormat="1" ht="14">
      <c r="A24" s="238">
        <v>2016</v>
      </c>
      <c r="B24" s="247" t="s">
        <v>231</v>
      </c>
      <c r="C24" s="454">
        <v>2120.08</v>
      </c>
      <c r="D24" s="454">
        <v>1529.78</v>
      </c>
      <c r="E24" s="458">
        <v>1778.12</v>
      </c>
      <c r="F24" s="104"/>
      <c r="G24" s="104"/>
      <c r="H24" s="104"/>
    </row>
    <row r="25" spans="1:8" s="105" customFormat="1" ht="14">
      <c r="A25" s="239"/>
      <c r="B25" s="251" t="s">
        <v>232</v>
      </c>
      <c r="C25" s="458">
        <v>2094.58</v>
      </c>
      <c r="D25" s="458">
        <v>1587.89</v>
      </c>
      <c r="E25" s="458">
        <v>1732.76</v>
      </c>
      <c r="F25" s="104"/>
      <c r="G25" s="104"/>
      <c r="H25" s="104"/>
    </row>
    <row r="26" spans="1:8" s="105" customFormat="1" ht="14">
      <c r="A26" s="239"/>
      <c r="B26" s="251" t="s">
        <v>233</v>
      </c>
      <c r="C26" s="458">
        <v>2077.13</v>
      </c>
      <c r="D26" s="458">
        <v>1584.46</v>
      </c>
      <c r="E26" s="458">
        <v>1706.39</v>
      </c>
      <c r="F26" s="104"/>
      <c r="G26" s="104"/>
      <c r="H26" s="104"/>
    </row>
    <row r="27" spans="1:8" s="105" customFormat="1" ht="14">
      <c r="A27" s="240"/>
      <c r="B27" s="252" t="s">
        <v>234</v>
      </c>
      <c r="C27" s="462">
        <v>2089.27</v>
      </c>
      <c r="D27" s="462">
        <v>1622</v>
      </c>
      <c r="E27" s="462">
        <v>1664.25</v>
      </c>
      <c r="F27" s="104"/>
      <c r="G27" s="104"/>
      <c r="H27" s="104"/>
    </row>
    <row r="28" spans="1:8" s="105" customFormat="1" ht="14">
      <c r="A28" s="238">
        <v>2017</v>
      </c>
      <c r="B28" s="247" t="s">
        <v>231</v>
      </c>
      <c r="C28" s="454">
        <v>2139.2399999999998</v>
      </c>
      <c r="D28" s="454">
        <v>1686.35</v>
      </c>
      <c r="E28" s="454">
        <v>1634.22</v>
      </c>
      <c r="F28" s="104"/>
      <c r="G28" s="104"/>
      <c r="H28" s="104"/>
    </row>
    <row r="29" spans="1:8" s="105" customFormat="1" ht="14">
      <c r="A29" s="239"/>
      <c r="B29" s="251" t="s">
        <v>232</v>
      </c>
      <c r="C29" s="458">
        <v>2115.39</v>
      </c>
      <c r="D29" s="458">
        <v>1775.85</v>
      </c>
      <c r="E29" s="458">
        <v>1612.25</v>
      </c>
      <c r="F29" s="104"/>
      <c r="G29" s="104"/>
      <c r="H29" s="104"/>
    </row>
    <row r="30" spans="1:8" s="105" customFormat="1" ht="14">
      <c r="A30" s="239"/>
      <c r="B30" s="251" t="s">
        <v>233</v>
      </c>
      <c r="C30" s="458">
        <v>2130.61</v>
      </c>
      <c r="D30" s="458">
        <v>1782.54</v>
      </c>
      <c r="E30" s="458">
        <v>1600.15</v>
      </c>
      <c r="F30" s="104"/>
      <c r="G30" s="104"/>
      <c r="H30" s="104"/>
    </row>
    <row r="31" spans="1:8" s="105" customFormat="1" ht="14">
      <c r="A31" s="240"/>
      <c r="B31" s="252" t="s">
        <v>234</v>
      </c>
      <c r="C31" s="462">
        <v>2089.84</v>
      </c>
      <c r="D31" s="462">
        <v>1767.4</v>
      </c>
      <c r="E31" s="462">
        <v>1556.38</v>
      </c>
      <c r="F31" s="104"/>
      <c r="G31" s="104"/>
      <c r="H31" s="104"/>
    </row>
    <row r="32" spans="1:8" s="105" customFormat="1" ht="14.25" customHeight="1">
      <c r="A32" s="238">
        <v>2018</v>
      </c>
      <c r="B32" s="247" t="s">
        <v>231</v>
      </c>
      <c r="C32" s="454">
        <v>2071.34</v>
      </c>
      <c r="D32" s="454">
        <v>1764.58</v>
      </c>
      <c r="E32" s="454">
        <v>1538.02</v>
      </c>
      <c r="F32" s="104"/>
      <c r="G32" s="104"/>
      <c r="H32" s="104"/>
    </row>
    <row r="33" spans="1:8" s="105" customFormat="1" ht="14.25" customHeight="1">
      <c r="A33" s="239"/>
      <c r="B33" s="273" t="s">
        <v>232</v>
      </c>
      <c r="C33" s="458">
        <v>2030.02</v>
      </c>
      <c r="D33" s="458">
        <v>1714.83</v>
      </c>
      <c r="E33" s="458">
        <v>1548.01</v>
      </c>
      <c r="F33" s="104"/>
      <c r="G33" s="104"/>
      <c r="H33" s="104"/>
    </row>
    <row r="34" spans="1:8" s="105" customFormat="1" ht="14.25" customHeight="1">
      <c r="A34" s="239"/>
      <c r="B34" s="273" t="s">
        <v>233</v>
      </c>
      <c r="C34" s="458">
        <v>2014.92</v>
      </c>
      <c r="D34" s="458">
        <v>1687.31</v>
      </c>
      <c r="E34" s="458">
        <v>1550.67</v>
      </c>
      <c r="F34" s="104"/>
      <c r="G34" s="104"/>
      <c r="H34" s="104"/>
    </row>
    <row r="35" spans="1:8" s="105" customFormat="1" ht="14.25" customHeight="1">
      <c r="A35" s="239"/>
      <c r="B35" s="273" t="s">
        <v>234</v>
      </c>
      <c r="C35" s="462">
        <v>1988.02</v>
      </c>
      <c r="D35" s="462">
        <v>1661.02</v>
      </c>
      <c r="E35" s="462">
        <v>1538.59</v>
      </c>
      <c r="F35" s="104"/>
      <c r="G35" s="104"/>
      <c r="H35" s="104"/>
    </row>
    <row r="36" spans="1:8" s="105" customFormat="1" ht="14.25" customHeight="1">
      <c r="A36" s="238">
        <v>2019</v>
      </c>
      <c r="B36" s="272" t="s">
        <v>231</v>
      </c>
      <c r="C36" s="454">
        <v>1937.36</v>
      </c>
      <c r="D36" s="454">
        <v>1592.75</v>
      </c>
      <c r="E36" s="454">
        <v>1533.84</v>
      </c>
      <c r="F36" s="104"/>
      <c r="G36" s="104"/>
      <c r="H36" s="104"/>
    </row>
    <row r="37" spans="1:8" s="105" customFormat="1" ht="14.25" customHeight="1">
      <c r="A37" s="239"/>
      <c r="B37" s="273" t="s">
        <v>232</v>
      </c>
      <c r="C37" s="458">
        <v>1849.59</v>
      </c>
      <c r="D37" s="458">
        <v>1511.3</v>
      </c>
      <c r="E37" s="458">
        <v>1530.16</v>
      </c>
      <c r="F37" s="104"/>
      <c r="G37" s="104"/>
      <c r="H37" s="104"/>
    </row>
    <row r="38" spans="1:8" s="105" customFormat="1" ht="14.25" customHeight="1">
      <c r="A38" s="239"/>
      <c r="B38" s="273" t="s">
        <v>233</v>
      </c>
      <c r="C38" s="458">
        <v>1857.88</v>
      </c>
      <c r="D38" s="458">
        <v>1500.42</v>
      </c>
      <c r="E38" s="458">
        <v>1529.11</v>
      </c>
      <c r="F38" s="104"/>
      <c r="G38" s="104"/>
      <c r="H38" s="104"/>
    </row>
    <row r="39" spans="1:8" s="105" customFormat="1" ht="14.25" customHeight="1">
      <c r="A39" s="240"/>
      <c r="B39" s="274" t="s">
        <v>234</v>
      </c>
      <c r="C39" s="462">
        <v>1910.67</v>
      </c>
      <c r="D39" s="462">
        <v>1572</v>
      </c>
      <c r="E39" s="462">
        <v>1521.9</v>
      </c>
      <c r="F39" s="104"/>
      <c r="G39" s="104"/>
      <c r="H39" s="104"/>
    </row>
    <row r="40" spans="1:8" s="105" customFormat="1" ht="14.25" customHeight="1">
      <c r="A40" s="238">
        <v>2020</v>
      </c>
      <c r="B40" s="272" t="s">
        <v>231</v>
      </c>
      <c r="C40" s="454">
        <v>1929.20325153</v>
      </c>
      <c r="D40" s="454">
        <v>1581.3383874599997</v>
      </c>
      <c r="E40" s="454">
        <v>1530.0597971599998</v>
      </c>
      <c r="F40" s="104"/>
      <c r="G40" s="104"/>
      <c r="H40" s="104"/>
    </row>
    <row r="41" spans="1:8" s="105" customFormat="1" ht="14.25" customHeight="1">
      <c r="A41" s="239"/>
      <c r="B41" s="273" t="s">
        <v>232</v>
      </c>
      <c r="C41" s="458">
        <v>1951.3869999999999</v>
      </c>
      <c r="D41" s="458">
        <v>1662.952</v>
      </c>
      <c r="E41" s="458">
        <v>1538.3779999999999</v>
      </c>
      <c r="F41" s="104"/>
      <c r="G41" s="104"/>
      <c r="H41" s="104"/>
    </row>
    <row r="42" spans="1:8" s="105" customFormat="1" ht="14.25" customHeight="1">
      <c r="A42" s="239"/>
      <c r="B42" s="273" t="s">
        <v>233</v>
      </c>
      <c r="C42" s="458">
        <v>2008.5160000000001</v>
      </c>
      <c r="D42" s="458">
        <v>1708.1659999999999</v>
      </c>
      <c r="E42" s="458">
        <v>1544.356</v>
      </c>
      <c r="F42" s="104"/>
      <c r="G42" s="104"/>
      <c r="H42" s="104"/>
    </row>
    <row r="43" spans="1:8" s="105" customFormat="1" ht="14.25" customHeight="1">
      <c r="A43" s="240"/>
      <c r="B43" s="274" t="s">
        <v>234</v>
      </c>
      <c r="C43" s="462">
        <v>2096.2629999999999</v>
      </c>
      <c r="D43" s="462">
        <v>1784.0909999999999</v>
      </c>
      <c r="E43" s="462">
        <v>1558.155</v>
      </c>
      <c r="F43" s="104"/>
      <c r="G43" s="104"/>
      <c r="H43" s="104"/>
    </row>
    <row r="44" spans="1:8" s="105" customFormat="1" ht="14.25" customHeight="1">
      <c r="A44" s="238">
        <v>2021</v>
      </c>
      <c r="B44" s="272" t="s">
        <v>231</v>
      </c>
      <c r="C44" s="454">
        <v>2151.9810000000002</v>
      </c>
      <c r="D44" s="454">
        <v>1838.2559999999999</v>
      </c>
      <c r="E44" s="454">
        <v>1579.9739999999999</v>
      </c>
      <c r="F44" s="104"/>
      <c r="G44" s="104"/>
      <c r="H44" s="104"/>
    </row>
    <row r="45" spans="1:8" s="105" customFormat="1" ht="14.25" customHeight="1">
      <c r="A45" s="239"/>
      <c r="B45" s="273" t="s">
        <v>232</v>
      </c>
      <c r="C45" s="458">
        <v>2216.8869000100099</v>
      </c>
      <c r="D45" s="458">
        <v>1907.20196839</v>
      </c>
      <c r="E45" s="458">
        <v>1616.00930997</v>
      </c>
      <c r="F45" s="104"/>
      <c r="G45" s="104"/>
      <c r="H45" s="104"/>
    </row>
    <row r="46" spans="1:8" s="105" customFormat="1" ht="14.25" customHeight="1">
      <c r="A46" s="239"/>
      <c r="B46" s="273" t="s">
        <v>233</v>
      </c>
      <c r="C46" s="458">
        <v>2201.7890418902398</v>
      </c>
      <c r="D46" s="458">
        <v>1905.59700023</v>
      </c>
      <c r="E46" s="458">
        <v>1606.1055326799999</v>
      </c>
      <c r="F46" s="104"/>
      <c r="G46" s="104"/>
      <c r="H46" s="104"/>
    </row>
    <row r="47" spans="1:8" s="105" customFormat="1" ht="14.25" customHeight="1">
      <c r="A47" s="240"/>
      <c r="B47" s="274" t="s">
        <v>234</v>
      </c>
      <c r="C47" s="497">
        <v>2233.06580346088</v>
      </c>
      <c r="D47" s="462">
        <v>1918.12581907</v>
      </c>
      <c r="E47" s="462">
        <v>1570.75052164</v>
      </c>
      <c r="F47" s="104"/>
      <c r="G47" s="104"/>
      <c r="H47" s="104"/>
    </row>
    <row r="48" spans="1:8" s="105" customFormat="1" ht="14.25" customHeight="1">
      <c r="A48" s="238">
        <v>2022</v>
      </c>
      <c r="B48" s="272" t="s">
        <v>231</v>
      </c>
      <c r="C48" s="498">
        <v>2252.3126393623202</v>
      </c>
      <c r="D48" s="498">
        <v>1929.3469489500001</v>
      </c>
      <c r="E48" s="498">
        <v>1562.98934399</v>
      </c>
      <c r="F48" s="104"/>
      <c r="G48" s="104"/>
      <c r="H48" s="104"/>
    </row>
    <row r="49" spans="1:8" s="105" customFormat="1" ht="14.25" customHeight="1">
      <c r="A49" s="239"/>
      <c r="B49" s="273" t="s">
        <v>232</v>
      </c>
      <c r="C49" s="458">
        <v>2160.8518893891801</v>
      </c>
      <c r="D49" s="458">
        <v>1838.14493247</v>
      </c>
      <c r="E49" s="458">
        <v>1571.39030411</v>
      </c>
      <c r="F49" s="104"/>
      <c r="G49" s="104"/>
      <c r="H49" s="104"/>
    </row>
    <row r="50" spans="1:8" s="105" customFormat="1" ht="14.25" customHeight="1">
      <c r="A50" s="239"/>
      <c r="B50" s="273" t="s">
        <v>233</v>
      </c>
      <c r="C50" s="458">
        <v>2141.6999370747358</v>
      </c>
      <c r="D50" s="458">
        <v>1817.6400520899997</v>
      </c>
      <c r="E50" s="458">
        <v>1583.349677819999</v>
      </c>
      <c r="F50" s="104"/>
      <c r="G50" s="104"/>
      <c r="H50" s="104"/>
    </row>
    <row r="51" spans="1:8" s="105" customFormat="1" ht="14.25" customHeight="1">
      <c r="A51" s="240"/>
      <c r="B51" s="274" t="s">
        <v>234</v>
      </c>
      <c r="C51" s="497">
        <v>1998.73023683769</v>
      </c>
      <c r="D51" s="497">
        <v>1635.06806095</v>
      </c>
      <c r="E51" s="497">
        <v>1596.4275158600001</v>
      </c>
      <c r="F51" s="104"/>
      <c r="G51" s="104"/>
      <c r="H51" s="104"/>
    </row>
    <row r="52" spans="1:8" s="105" customFormat="1" ht="14.25" customHeight="1">
      <c r="A52" s="238">
        <v>2023</v>
      </c>
      <c r="B52" s="272" t="s">
        <v>231</v>
      </c>
      <c r="C52" s="454">
        <v>1931.8303225570701</v>
      </c>
      <c r="D52" s="454">
        <v>1573.0235080099999</v>
      </c>
      <c r="E52" s="454">
        <v>1608.40594609001</v>
      </c>
      <c r="F52" s="104"/>
      <c r="G52" s="104"/>
      <c r="H52" s="104"/>
    </row>
    <row r="53" spans="1:8" s="105" customFormat="1" ht="14.25" customHeight="1">
      <c r="A53" s="239"/>
      <c r="B53" s="273" t="s">
        <v>232</v>
      </c>
      <c r="C53" s="458">
        <v>1927.57512606501</v>
      </c>
      <c r="D53" s="458">
        <v>1602.6167865899999</v>
      </c>
      <c r="E53" s="458">
        <v>1645.32327764001</v>
      </c>
      <c r="F53" s="104"/>
      <c r="G53" s="104"/>
      <c r="H53" s="104"/>
    </row>
    <row r="54" spans="1:8" s="105" customFormat="1" ht="14.25" customHeight="1">
      <c r="A54" s="239"/>
      <c r="B54" s="273" t="s">
        <v>233</v>
      </c>
      <c r="C54" s="458">
        <v>1985.7284783119401</v>
      </c>
      <c r="D54" s="458">
        <v>1658.0621748399999</v>
      </c>
      <c r="E54" s="458">
        <v>1676.4104339999999</v>
      </c>
      <c r="F54" s="104"/>
      <c r="G54" s="104"/>
      <c r="H54" s="104"/>
    </row>
    <row r="55" spans="1:8" s="105" customFormat="1" ht="14.25" customHeight="1">
      <c r="A55" s="240"/>
      <c r="B55" s="274" t="s">
        <v>234</v>
      </c>
      <c r="C55" s="462">
        <v>2089.4787060538001</v>
      </c>
      <c r="D55" s="462">
        <v>1733.6065491700001</v>
      </c>
      <c r="E55" s="462">
        <v>1702.30732289002</v>
      </c>
      <c r="F55" s="104"/>
      <c r="G55" s="104"/>
      <c r="H55" s="104"/>
    </row>
    <row r="56" spans="1:8" s="105" customFormat="1" ht="14.25" customHeight="1">
      <c r="A56" s="238">
        <v>2024</v>
      </c>
      <c r="B56" s="272" t="s">
        <v>231</v>
      </c>
      <c r="C56" s="454">
        <v>2096.6180162781802</v>
      </c>
      <c r="D56" s="454">
        <v>1735.73548822</v>
      </c>
      <c r="E56" s="454">
        <v>1718.7236720300057</v>
      </c>
      <c r="F56" s="104"/>
      <c r="G56" s="104"/>
      <c r="H56" s="104"/>
    </row>
    <row r="57" spans="1:8" s="105" customFormat="1" ht="14.25" customHeight="1">
      <c r="A57" s="239"/>
      <c r="B57" s="273" t="s">
        <v>232</v>
      </c>
      <c r="C57" s="458">
        <v>2098.6772668796498</v>
      </c>
      <c r="D57" s="458">
        <v>1754.27282769</v>
      </c>
      <c r="E57" s="458">
        <v>1770.32408779002</v>
      </c>
      <c r="F57" s="104"/>
      <c r="G57" s="104"/>
      <c r="H57" s="104"/>
    </row>
    <row r="58" spans="1:8" s="105" customFormat="1" ht="14.25" customHeight="1">
      <c r="A58" s="239"/>
      <c r="B58" s="273" t="s">
        <v>233</v>
      </c>
      <c r="C58" s="458">
        <v>2195.2757174643002</v>
      </c>
      <c r="D58" s="458">
        <v>1837.58538462</v>
      </c>
      <c r="E58" s="458">
        <v>1796.0486124200099</v>
      </c>
      <c r="F58" s="104"/>
      <c r="G58" s="104"/>
      <c r="H58" s="104"/>
    </row>
    <row r="59" spans="1:8" s="105" customFormat="1" ht="14.25" customHeight="1">
      <c r="A59" s="240"/>
      <c r="B59" s="274" t="s">
        <v>234</v>
      </c>
      <c r="C59" s="462">
        <v>2204.0774499005702</v>
      </c>
      <c r="D59" s="462">
        <v>1818.67776157</v>
      </c>
      <c r="E59" s="462">
        <v>1818.1947495100201</v>
      </c>
      <c r="F59" s="104"/>
      <c r="G59" s="104"/>
      <c r="H59" s="104"/>
    </row>
    <row r="60" spans="1:8" s="105" customFormat="1" ht="17.149999999999999" customHeight="1">
      <c r="A60" s="238">
        <v>2025</v>
      </c>
      <c r="B60" s="272" t="s">
        <v>231</v>
      </c>
      <c r="C60" s="454">
        <v>2199.9162107723</v>
      </c>
      <c r="D60" s="454">
        <v>1833.94973802</v>
      </c>
      <c r="E60" s="454">
        <v>1847.1033268700201</v>
      </c>
      <c r="F60" s="104"/>
      <c r="G60" s="104"/>
      <c r="H60" s="104"/>
    </row>
    <row r="61" spans="1:8" s="105" customFormat="1" ht="17.149999999999999" customHeight="1">
      <c r="A61" s="239"/>
      <c r="B61" s="273" t="s">
        <v>232</v>
      </c>
      <c r="C61" s="458">
        <v>2269.2740662219162</v>
      </c>
      <c r="D61" s="458">
        <v>1919.7751914800001</v>
      </c>
      <c r="E61" s="458">
        <v>1892.8307237400199</v>
      </c>
      <c r="F61" s="104"/>
      <c r="G61" s="104"/>
      <c r="H61" s="104"/>
    </row>
    <row r="62" spans="1:8" s="105" customFormat="1" ht="17.149999999999999" customHeight="1">
      <c r="A62" s="239"/>
      <c r="B62" s="273" t="s">
        <v>233</v>
      </c>
      <c r="C62" s="458">
        <v>2295.8895621736501</v>
      </c>
      <c r="D62" s="458">
        <v>1950.1925199499999</v>
      </c>
      <c r="E62" s="458">
        <v>1919.1870410700301</v>
      </c>
      <c r="F62" s="104"/>
      <c r="G62" s="104"/>
      <c r="H62" s="104"/>
    </row>
    <row r="63" spans="1:8" s="105" customFormat="1" ht="17.149999999999999" customHeight="1">
      <c r="A63" s="240"/>
      <c r="B63" s="274" t="s">
        <v>234</v>
      </c>
      <c r="C63" s="462">
        <v>2364.47309073936</v>
      </c>
      <c r="D63" s="462">
        <v>2006.2240188000001</v>
      </c>
      <c r="E63" s="462">
        <v>1939.63025055002</v>
      </c>
      <c r="F63" s="104"/>
      <c r="G63" s="104"/>
      <c r="H63" s="104"/>
    </row>
    <row r="64" spans="1:8" s="105" customFormat="1" ht="17.149999999999999" customHeight="1">
      <c r="A64" s="675">
        <v>2026</v>
      </c>
      <c r="B64" s="678" t="s">
        <v>231</v>
      </c>
      <c r="C64" s="677">
        <v>2358.4559107112559</v>
      </c>
      <c r="D64" s="677">
        <v>1983.9235463669468</v>
      </c>
      <c r="E64" s="677">
        <v>1933.2871528412898</v>
      </c>
      <c r="F64" s="104"/>
      <c r="G64" s="104"/>
      <c r="H64" s="104"/>
    </row>
    <row r="65" spans="1:5">
      <c r="A65" s="67"/>
      <c r="B65" s="67"/>
      <c r="C65" s="84"/>
      <c r="D65" s="84"/>
      <c r="E65" s="84"/>
    </row>
    <row r="66" spans="1:5">
      <c r="A66" s="171" t="s">
        <v>195</v>
      </c>
      <c r="B66" s="161"/>
      <c r="C66" s="161"/>
    </row>
    <row r="67" spans="1:5">
      <c r="A67" s="161"/>
      <c r="B67" s="161"/>
      <c r="C67" s="185"/>
      <c r="D67" s="85"/>
      <c r="E67" s="85"/>
    </row>
    <row r="68" spans="1:5">
      <c r="A68" s="161" t="s">
        <v>119</v>
      </c>
      <c r="B68" s="161"/>
      <c r="C68" s="185"/>
      <c r="D68" s="85"/>
      <c r="E68" s="85"/>
    </row>
    <row r="69" spans="1:5">
      <c r="A69" s="161" t="s">
        <v>120</v>
      </c>
      <c r="B69" s="161"/>
      <c r="C69" s="185"/>
      <c r="D69" s="85"/>
      <c r="E69" s="85"/>
    </row>
    <row r="70" spans="1:5">
      <c r="A70" s="168" t="s">
        <v>168</v>
      </c>
      <c r="C70" s="85"/>
      <c r="D70" s="85"/>
      <c r="E70" s="85"/>
    </row>
    <row r="71" spans="1:5">
      <c r="C71" s="78"/>
      <c r="D71" s="85"/>
      <c r="E71" s="78"/>
    </row>
    <row r="72" spans="1:5">
      <c r="C72" s="78"/>
      <c r="D72" s="78"/>
      <c r="E72" s="78"/>
    </row>
    <row r="73" spans="1:5">
      <c r="C73" s="78"/>
      <c r="D73" s="78"/>
      <c r="E73" s="78"/>
    </row>
    <row r="74" spans="1:5">
      <c r="C74" s="78"/>
      <c r="D74" s="171"/>
      <c r="E74" s="78"/>
    </row>
    <row r="75" spans="1:5">
      <c r="D75" s="79"/>
    </row>
    <row r="76" spans="1:5">
      <c r="D76" s="161"/>
    </row>
    <row r="77" spans="1:5">
      <c r="D77" s="161"/>
    </row>
  </sheetData>
  <sheetProtection sheet="1" formatCells="0" insertColumns="0" insertRows="0" deleteColumns="0" deleteRows="0"/>
  <mergeCells count="3">
    <mergeCell ref="A3:B3"/>
    <mergeCell ref="A2:E2"/>
    <mergeCell ref="A1:E1"/>
  </mergeCells>
  <printOptions horizontalCentered="1"/>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O72"/>
  <sheetViews>
    <sheetView zoomScaleNormal="100" workbookViewId="0">
      <pane ySplit="5" topLeftCell="A39" activePane="bottomLeft" state="frozen"/>
      <selection activeCell="G153" sqref="G153"/>
      <selection pane="bottomLeft" activeCell="C66" sqref="C66"/>
    </sheetView>
  </sheetViews>
  <sheetFormatPr defaultColWidth="9.1796875" defaultRowHeight="13"/>
  <cols>
    <col min="1" max="1" width="6.81640625" style="65" customWidth="1"/>
    <col min="2" max="2" width="8.08984375" style="65" customWidth="1"/>
    <col min="3" max="3" width="14.81640625" style="65" customWidth="1"/>
    <col min="4" max="9" width="13.81640625" style="65" customWidth="1"/>
    <col min="10" max="16384" width="9.1796875" style="65"/>
  </cols>
  <sheetData>
    <row r="1" spans="1:11" ht="15.5">
      <c r="A1" s="709" t="s">
        <v>271</v>
      </c>
      <c r="B1" s="709"/>
      <c r="C1" s="709"/>
      <c r="D1" s="709"/>
      <c r="E1" s="709"/>
      <c r="F1" s="709"/>
    </row>
    <row r="2" spans="1:11" ht="14">
      <c r="A2" s="760" t="s">
        <v>97</v>
      </c>
      <c r="B2" s="760"/>
      <c r="C2" s="760"/>
      <c r="D2" s="760"/>
      <c r="E2" s="760"/>
      <c r="F2" s="760"/>
      <c r="G2" s="760"/>
      <c r="H2" s="760"/>
      <c r="I2" s="760"/>
    </row>
    <row r="3" spans="1:11" s="105" customFormat="1" ht="25.5" customHeight="1">
      <c r="A3" s="717" t="s">
        <v>98</v>
      </c>
      <c r="B3" s="718"/>
      <c r="C3" s="798" t="s">
        <v>269</v>
      </c>
      <c r="D3" s="799"/>
      <c r="E3" s="799"/>
      <c r="F3" s="799"/>
      <c r="G3" s="799"/>
      <c r="H3" s="799"/>
      <c r="I3" s="800"/>
    </row>
    <row r="4" spans="1:11" s="105" customFormat="1" ht="25" customHeight="1">
      <c r="A4" s="751"/>
      <c r="B4" s="752"/>
      <c r="C4" s="732" t="s">
        <v>102</v>
      </c>
      <c r="D4" s="795" t="s">
        <v>272</v>
      </c>
      <c r="E4" s="796"/>
      <c r="F4" s="797"/>
      <c r="G4" s="795" t="s">
        <v>273</v>
      </c>
      <c r="H4" s="796"/>
      <c r="I4" s="797"/>
    </row>
    <row r="5" spans="1:11" s="105" customFormat="1" ht="23.5" customHeight="1">
      <c r="A5" s="719"/>
      <c r="B5" s="720"/>
      <c r="C5" s="732"/>
      <c r="D5" s="279" t="s">
        <v>102</v>
      </c>
      <c r="E5" s="280" t="s">
        <v>274</v>
      </c>
      <c r="F5" s="280" t="s">
        <v>275</v>
      </c>
      <c r="G5" s="279" t="s">
        <v>102</v>
      </c>
      <c r="H5" s="280" t="s">
        <v>276</v>
      </c>
      <c r="I5" s="280" t="s">
        <v>277</v>
      </c>
    </row>
    <row r="6" spans="1:11" s="105" customFormat="1" ht="14">
      <c r="A6" s="243">
        <v>2011</v>
      </c>
      <c r="B6" s="272" t="s">
        <v>231</v>
      </c>
      <c r="C6" s="503">
        <f>D6+G6</f>
        <v>1018.84</v>
      </c>
      <c r="D6" s="504">
        <f>E6+F6</f>
        <v>834.72</v>
      </c>
      <c r="E6" s="505">
        <v>112.02</v>
      </c>
      <c r="F6" s="506">
        <v>722.7</v>
      </c>
      <c r="G6" s="507">
        <f>H6+I6</f>
        <v>184.12</v>
      </c>
      <c r="H6" s="506">
        <v>82.34</v>
      </c>
      <c r="I6" s="507">
        <v>101.78</v>
      </c>
      <c r="J6" s="107"/>
      <c r="K6" s="107"/>
    </row>
    <row r="7" spans="1:11" s="105" customFormat="1" ht="14">
      <c r="A7" s="499"/>
      <c r="B7" s="273" t="s">
        <v>232</v>
      </c>
      <c r="C7" s="508">
        <f>D7+G7</f>
        <v>1041.05</v>
      </c>
      <c r="D7" s="509">
        <f>E7+F7</f>
        <v>854.88</v>
      </c>
      <c r="E7" s="510">
        <v>108.25</v>
      </c>
      <c r="F7" s="511">
        <v>746.63</v>
      </c>
      <c r="G7" s="512">
        <f>H7+I7</f>
        <v>186.17000000000002</v>
      </c>
      <c r="H7" s="511">
        <v>86.4</v>
      </c>
      <c r="I7" s="512">
        <v>99.77</v>
      </c>
      <c r="J7" s="107"/>
      <c r="K7" s="107"/>
    </row>
    <row r="8" spans="1:11" s="105" customFormat="1" ht="14">
      <c r="A8" s="499"/>
      <c r="B8" s="273" t="s">
        <v>233</v>
      </c>
      <c r="C8" s="508">
        <f t="shared" ref="C8:C33" si="0">D8+G8</f>
        <v>1169.5500000000002</v>
      </c>
      <c r="D8" s="509">
        <f t="shared" ref="D8:D33" si="1">E8+F8</f>
        <v>840.85</v>
      </c>
      <c r="E8" s="510">
        <v>109</v>
      </c>
      <c r="F8" s="511">
        <v>731.85</v>
      </c>
      <c r="G8" s="512">
        <f t="shared" ref="G8:G33" si="2">H8+I8</f>
        <v>328.70000000000005</v>
      </c>
      <c r="H8" s="511">
        <v>192.27</v>
      </c>
      <c r="I8" s="512">
        <v>136.43</v>
      </c>
      <c r="J8" s="107"/>
      <c r="K8" s="107"/>
    </row>
    <row r="9" spans="1:11" s="105" customFormat="1" ht="14">
      <c r="A9" s="500"/>
      <c r="B9" s="274" t="s">
        <v>234</v>
      </c>
      <c r="C9" s="513">
        <f t="shared" si="0"/>
        <v>1186.0999999999999</v>
      </c>
      <c r="D9" s="513">
        <f t="shared" si="1"/>
        <v>850.87999999999988</v>
      </c>
      <c r="E9" s="514">
        <v>112.57</v>
      </c>
      <c r="F9" s="515">
        <v>738.31</v>
      </c>
      <c r="G9" s="516">
        <f t="shared" si="2"/>
        <v>335.22</v>
      </c>
      <c r="H9" s="515">
        <v>191.59</v>
      </c>
      <c r="I9" s="516">
        <v>143.63</v>
      </c>
      <c r="J9" s="107"/>
      <c r="K9" s="107"/>
    </row>
    <row r="10" spans="1:11" s="105" customFormat="1" ht="14">
      <c r="A10" s="499">
        <v>2012</v>
      </c>
      <c r="B10" s="273" t="s">
        <v>231</v>
      </c>
      <c r="C10" s="508">
        <f t="shared" si="0"/>
        <v>1235.55</v>
      </c>
      <c r="D10" s="509">
        <f t="shared" si="1"/>
        <v>877.4</v>
      </c>
      <c r="E10" s="510">
        <v>118.28</v>
      </c>
      <c r="F10" s="511">
        <v>759.12</v>
      </c>
      <c r="G10" s="512">
        <f t="shared" si="2"/>
        <v>358.15</v>
      </c>
      <c r="H10" s="511">
        <v>202.74</v>
      </c>
      <c r="I10" s="512">
        <v>155.41</v>
      </c>
      <c r="J10" s="107"/>
      <c r="K10" s="107"/>
    </row>
    <row r="11" spans="1:11" s="105" customFormat="1" ht="14">
      <c r="A11" s="499"/>
      <c r="B11" s="273" t="s">
        <v>232</v>
      </c>
      <c r="C11" s="508">
        <f t="shared" si="0"/>
        <v>1228.95</v>
      </c>
      <c r="D11" s="509">
        <f t="shared" si="1"/>
        <v>868.73</v>
      </c>
      <c r="E11" s="510">
        <v>116.37</v>
      </c>
      <c r="F11" s="511">
        <v>752.36</v>
      </c>
      <c r="G11" s="512">
        <f t="shared" si="2"/>
        <v>360.22</v>
      </c>
      <c r="H11" s="511">
        <v>204.68</v>
      </c>
      <c r="I11" s="512">
        <v>155.54</v>
      </c>
      <c r="J11" s="107"/>
      <c r="K11" s="107"/>
    </row>
    <row r="12" spans="1:11" s="105" customFormat="1" ht="14">
      <c r="A12" s="499"/>
      <c r="B12" s="273" t="s">
        <v>233</v>
      </c>
      <c r="C12" s="508">
        <f t="shared" si="0"/>
        <v>1230.3899999999999</v>
      </c>
      <c r="D12" s="509">
        <f t="shared" si="1"/>
        <v>878.75</v>
      </c>
      <c r="E12" s="510">
        <v>117.38</v>
      </c>
      <c r="F12" s="511">
        <v>761.37</v>
      </c>
      <c r="G12" s="512">
        <f t="shared" si="2"/>
        <v>351.64</v>
      </c>
      <c r="H12" s="511">
        <v>203.87</v>
      </c>
      <c r="I12" s="512">
        <v>147.77000000000001</v>
      </c>
      <c r="J12" s="107"/>
      <c r="K12" s="107"/>
    </row>
    <row r="13" spans="1:11" s="105" customFormat="1" ht="14">
      <c r="A13" s="499"/>
      <c r="B13" s="273" t="s">
        <v>234</v>
      </c>
      <c r="C13" s="513">
        <f t="shared" si="0"/>
        <v>1246</v>
      </c>
      <c r="D13" s="513">
        <f t="shared" si="1"/>
        <v>879</v>
      </c>
      <c r="E13" s="514">
        <v>120</v>
      </c>
      <c r="F13" s="515">
        <v>759</v>
      </c>
      <c r="G13" s="516">
        <f t="shared" si="2"/>
        <v>367</v>
      </c>
      <c r="H13" s="515">
        <v>205</v>
      </c>
      <c r="I13" s="516">
        <v>162</v>
      </c>
      <c r="J13" s="107"/>
      <c r="K13" s="107"/>
    </row>
    <row r="14" spans="1:11" s="105" customFormat="1" ht="14">
      <c r="A14" s="243">
        <v>2013</v>
      </c>
      <c r="B14" s="247" t="s">
        <v>231</v>
      </c>
      <c r="C14" s="508">
        <f t="shared" si="0"/>
        <v>1313.1200000000001</v>
      </c>
      <c r="D14" s="509">
        <f t="shared" si="1"/>
        <v>897.07</v>
      </c>
      <c r="E14" s="510">
        <v>125.71</v>
      </c>
      <c r="F14" s="509">
        <v>771.36</v>
      </c>
      <c r="G14" s="512">
        <f t="shared" si="2"/>
        <v>416.05</v>
      </c>
      <c r="H14" s="509">
        <v>239.5</v>
      </c>
      <c r="I14" s="509">
        <v>176.55</v>
      </c>
      <c r="J14" s="107"/>
      <c r="K14" s="107"/>
    </row>
    <row r="15" spans="1:11" s="105" customFormat="1" ht="14">
      <c r="A15" s="499"/>
      <c r="B15" s="251" t="s">
        <v>232</v>
      </c>
      <c r="C15" s="508">
        <f t="shared" si="0"/>
        <v>1288.6199999999999</v>
      </c>
      <c r="D15" s="509">
        <f t="shared" si="1"/>
        <v>859.19999999999993</v>
      </c>
      <c r="E15" s="510">
        <v>123.66</v>
      </c>
      <c r="F15" s="509">
        <v>735.54</v>
      </c>
      <c r="G15" s="512">
        <f t="shared" si="2"/>
        <v>429.42</v>
      </c>
      <c r="H15" s="509">
        <v>250.86</v>
      </c>
      <c r="I15" s="509">
        <v>178.56</v>
      </c>
      <c r="J15" s="107"/>
      <c r="K15" s="107"/>
    </row>
    <row r="16" spans="1:11" s="105" customFormat="1" ht="14">
      <c r="A16" s="499"/>
      <c r="B16" s="251" t="s">
        <v>233</v>
      </c>
      <c r="C16" s="508">
        <f t="shared" si="0"/>
        <v>1293.5099999999998</v>
      </c>
      <c r="D16" s="509">
        <f t="shared" si="1"/>
        <v>868.20999999999992</v>
      </c>
      <c r="E16" s="510">
        <v>121.8</v>
      </c>
      <c r="F16" s="509">
        <v>746.41</v>
      </c>
      <c r="G16" s="512">
        <f t="shared" si="2"/>
        <v>425.29999999999995</v>
      </c>
      <c r="H16" s="509">
        <v>248.51</v>
      </c>
      <c r="I16" s="509">
        <v>176.79</v>
      </c>
      <c r="J16" s="107"/>
      <c r="K16" s="107"/>
    </row>
    <row r="17" spans="1:41" s="105" customFormat="1" ht="14">
      <c r="A17" s="500"/>
      <c r="B17" s="252" t="s">
        <v>234</v>
      </c>
      <c r="C17" s="513">
        <f t="shared" si="0"/>
        <v>1326.58</v>
      </c>
      <c r="D17" s="513">
        <f t="shared" si="1"/>
        <v>913.1</v>
      </c>
      <c r="E17" s="514">
        <v>124.48</v>
      </c>
      <c r="F17" s="513">
        <v>788.62</v>
      </c>
      <c r="G17" s="516">
        <f t="shared" si="2"/>
        <v>413.48</v>
      </c>
      <c r="H17" s="513">
        <v>242.37</v>
      </c>
      <c r="I17" s="513">
        <v>171.11</v>
      </c>
      <c r="J17" s="107"/>
      <c r="K17" s="107"/>
    </row>
    <row r="18" spans="1:41" s="105" customFormat="1" ht="14">
      <c r="A18" s="243">
        <v>2014</v>
      </c>
      <c r="B18" s="247" t="s">
        <v>231</v>
      </c>
      <c r="C18" s="508">
        <f t="shared" si="0"/>
        <v>1364.23</v>
      </c>
      <c r="D18" s="509">
        <f t="shared" si="1"/>
        <v>919.91</v>
      </c>
      <c r="E18" s="517">
        <v>130.91</v>
      </c>
      <c r="F18" s="509">
        <v>789</v>
      </c>
      <c r="G18" s="512">
        <f t="shared" si="2"/>
        <v>444.32000000000005</v>
      </c>
      <c r="H18" s="509">
        <v>262.73</v>
      </c>
      <c r="I18" s="510">
        <v>181.59</v>
      </c>
      <c r="J18" s="107"/>
      <c r="K18" s="107"/>
    </row>
    <row r="19" spans="1:41" s="105" customFormat="1" ht="14">
      <c r="A19" s="499"/>
      <c r="B19" s="251" t="s">
        <v>232</v>
      </c>
      <c r="C19" s="508">
        <f t="shared" si="0"/>
        <v>1381.46</v>
      </c>
      <c r="D19" s="509">
        <f t="shared" si="1"/>
        <v>935.43</v>
      </c>
      <c r="E19" s="517">
        <v>128.41999999999999</v>
      </c>
      <c r="F19" s="509">
        <v>807.01</v>
      </c>
      <c r="G19" s="512">
        <f t="shared" si="2"/>
        <v>446.03</v>
      </c>
      <c r="H19" s="509">
        <v>265.45999999999998</v>
      </c>
      <c r="I19" s="510">
        <v>180.57</v>
      </c>
      <c r="J19" s="107"/>
      <c r="K19" s="107"/>
    </row>
    <row r="20" spans="1:41" s="105" customFormat="1" ht="14">
      <c r="A20" s="499"/>
      <c r="B20" s="251" t="s">
        <v>233</v>
      </c>
      <c r="C20" s="508">
        <f t="shared" si="0"/>
        <v>1393.3</v>
      </c>
      <c r="D20" s="509">
        <f t="shared" si="1"/>
        <v>941.22</v>
      </c>
      <c r="E20" s="517">
        <v>129.01</v>
      </c>
      <c r="F20" s="509">
        <v>812.21</v>
      </c>
      <c r="G20" s="512">
        <f t="shared" si="2"/>
        <v>452.08</v>
      </c>
      <c r="H20" s="509">
        <v>270.7</v>
      </c>
      <c r="I20" s="510">
        <v>181.38</v>
      </c>
      <c r="J20" s="107"/>
      <c r="K20" s="107"/>
    </row>
    <row r="21" spans="1:41" s="105" customFormat="1" ht="14">
      <c r="A21" s="500"/>
      <c r="B21" s="252" t="s">
        <v>234</v>
      </c>
      <c r="C21" s="513">
        <f t="shared" si="0"/>
        <v>1337.72</v>
      </c>
      <c r="D21" s="513">
        <f t="shared" si="1"/>
        <v>952.82</v>
      </c>
      <c r="E21" s="518">
        <v>126.63</v>
      </c>
      <c r="F21" s="513">
        <v>826.19</v>
      </c>
      <c r="G21" s="516">
        <f t="shared" si="2"/>
        <v>384.9</v>
      </c>
      <c r="H21" s="513">
        <v>208.35</v>
      </c>
      <c r="I21" s="514">
        <v>176.55</v>
      </c>
      <c r="J21" s="107"/>
      <c r="K21" s="107"/>
    </row>
    <row r="22" spans="1:41" s="105" customFormat="1" ht="14">
      <c r="A22" s="499">
        <v>2015</v>
      </c>
      <c r="B22" s="247" t="s">
        <v>231</v>
      </c>
      <c r="C22" s="508">
        <f t="shared" si="0"/>
        <v>1425.97</v>
      </c>
      <c r="D22" s="509">
        <f t="shared" si="1"/>
        <v>964</v>
      </c>
      <c r="E22" s="505">
        <v>127.69</v>
      </c>
      <c r="F22" s="504">
        <v>836.31</v>
      </c>
      <c r="G22" s="512">
        <f t="shared" si="2"/>
        <v>461.96999999999997</v>
      </c>
      <c r="H22" s="509">
        <v>287.27999999999997</v>
      </c>
      <c r="I22" s="510">
        <v>174.69</v>
      </c>
      <c r="J22" s="107"/>
      <c r="K22" s="107"/>
    </row>
    <row r="23" spans="1:41" s="105" customFormat="1" ht="14">
      <c r="A23" s="499"/>
      <c r="B23" s="251" t="s">
        <v>232</v>
      </c>
      <c r="C23" s="508">
        <f t="shared" si="0"/>
        <v>1465.04</v>
      </c>
      <c r="D23" s="509">
        <f t="shared" si="1"/>
        <v>963.06999999999994</v>
      </c>
      <c r="E23" s="510">
        <v>127.57</v>
      </c>
      <c r="F23" s="509">
        <v>835.5</v>
      </c>
      <c r="G23" s="512">
        <f t="shared" si="2"/>
        <v>501.97</v>
      </c>
      <c r="H23" s="509">
        <v>320.89</v>
      </c>
      <c r="I23" s="509">
        <v>181.08</v>
      </c>
      <c r="J23" s="107"/>
      <c r="K23" s="107"/>
    </row>
    <row r="24" spans="1:41" s="105" customFormat="1" ht="14">
      <c r="A24" s="499"/>
      <c r="B24" s="251" t="s">
        <v>233</v>
      </c>
      <c r="C24" s="508">
        <f t="shared" si="0"/>
        <v>1449.74</v>
      </c>
      <c r="D24" s="509">
        <f t="shared" si="1"/>
        <v>955.01</v>
      </c>
      <c r="E24" s="510">
        <v>135.27000000000001</v>
      </c>
      <c r="F24" s="509">
        <v>819.74</v>
      </c>
      <c r="G24" s="512">
        <f t="shared" si="2"/>
        <v>494.73</v>
      </c>
      <c r="H24" s="509">
        <v>310.26</v>
      </c>
      <c r="I24" s="509">
        <v>184.47</v>
      </c>
      <c r="J24" s="107"/>
      <c r="K24" s="107"/>
    </row>
    <row r="25" spans="1:41" s="105" customFormat="1" ht="14">
      <c r="A25" s="500"/>
      <c r="B25" s="252" t="s">
        <v>234</v>
      </c>
      <c r="C25" s="513">
        <f t="shared" si="0"/>
        <v>1366.33</v>
      </c>
      <c r="D25" s="513">
        <f t="shared" si="1"/>
        <v>944.95</v>
      </c>
      <c r="E25" s="518">
        <v>135.83000000000001</v>
      </c>
      <c r="F25" s="513">
        <v>809.12</v>
      </c>
      <c r="G25" s="516">
        <f t="shared" si="2"/>
        <v>421.38</v>
      </c>
      <c r="H25" s="513">
        <v>235.7</v>
      </c>
      <c r="I25" s="513">
        <v>185.68</v>
      </c>
      <c r="J25" s="107"/>
      <c r="K25" s="107"/>
    </row>
    <row r="26" spans="1:41" s="105" customFormat="1" ht="14">
      <c r="A26" s="243">
        <v>2016</v>
      </c>
      <c r="B26" s="247" t="s">
        <v>231</v>
      </c>
      <c r="C26" s="508">
        <f t="shared" si="0"/>
        <v>1423.6999999999998</v>
      </c>
      <c r="D26" s="509">
        <f t="shared" si="1"/>
        <v>972.4</v>
      </c>
      <c r="E26" s="505">
        <v>145.13999999999999</v>
      </c>
      <c r="F26" s="504">
        <v>827.26</v>
      </c>
      <c r="G26" s="512">
        <f t="shared" si="2"/>
        <v>451.29999999999995</v>
      </c>
      <c r="H26" s="504">
        <v>260.45</v>
      </c>
      <c r="I26" s="504">
        <v>190.85</v>
      </c>
      <c r="J26" s="107"/>
      <c r="K26" s="107"/>
    </row>
    <row r="27" spans="1:41" s="105" customFormat="1" ht="14">
      <c r="A27" s="499"/>
      <c r="B27" s="251" t="s">
        <v>232</v>
      </c>
      <c r="C27" s="508">
        <f t="shared" si="0"/>
        <v>1433.94</v>
      </c>
      <c r="D27" s="509">
        <f t="shared" si="1"/>
        <v>983.53</v>
      </c>
      <c r="E27" s="510">
        <v>142.65</v>
      </c>
      <c r="F27" s="509">
        <v>840.88</v>
      </c>
      <c r="G27" s="512">
        <f t="shared" si="2"/>
        <v>450.40999999999997</v>
      </c>
      <c r="H27" s="509">
        <v>252.12</v>
      </c>
      <c r="I27" s="509">
        <v>198.29</v>
      </c>
      <c r="J27" s="107"/>
      <c r="K27" s="107"/>
    </row>
    <row r="28" spans="1:41" s="105" customFormat="1" ht="14">
      <c r="A28" s="499"/>
      <c r="B28" s="251" t="s">
        <v>233</v>
      </c>
      <c r="C28" s="508">
        <f t="shared" si="0"/>
        <v>1472.19</v>
      </c>
      <c r="D28" s="509">
        <f t="shared" si="1"/>
        <v>1009.1999999999999</v>
      </c>
      <c r="E28" s="510">
        <v>142.91</v>
      </c>
      <c r="F28" s="509">
        <v>866.29</v>
      </c>
      <c r="G28" s="512">
        <f t="shared" si="2"/>
        <v>462.99</v>
      </c>
      <c r="H28" s="509">
        <v>268.86</v>
      </c>
      <c r="I28" s="509">
        <v>194.13</v>
      </c>
      <c r="J28" s="107"/>
      <c r="K28" s="107"/>
    </row>
    <row r="29" spans="1:41" s="105" customFormat="1" ht="14">
      <c r="A29" s="500"/>
      <c r="B29" s="252" t="s">
        <v>234</v>
      </c>
      <c r="C29" s="513">
        <f t="shared" si="0"/>
        <v>1470.33</v>
      </c>
      <c r="D29" s="513">
        <f t="shared" si="1"/>
        <v>1010.29</v>
      </c>
      <c r="E29" s="514">
        <v>154.15</v>
      </c>
      <c r="F29" s="513">
        <v>856.14</v>
      </c>
      <c r="G29" s="516">
        <f t="shared" si="2"/>
        <v>460.04</v>
      </c>
      <c r="H29" s="513">
        <v>267.43</v>
      </c>
      <c r="I29" s="513">
        <v>192.61</v>
      </c>
      <c r="J29" s="107"/>
      <c r="K29" s="107"/>
    </row>
    <row r="30" spans="1:41" s="105" customFormat="1" ht="12.75" customHeight="1">
      <c r="A30" s="243">
        <v>2017</v>
      </c>
      <c r="B30" s="247" t="s">
        <v>231</v>
      </c>
      <c r="C30" s="508">
        <f t="shared" si="0"/>
        <v>1519.1399999999999</v>
      </c>
      <c r="D30" s="509">
        <f t="shared" si="1"/>
        <v>1042.74</v>
      </c>
      <c r="E30" s="505">
        <v>150.47999999999999</v>
      </c>
      <c r="F30" s="504">
        <v>892.26</v>
      </c>
      <c r="G30" s="509">
        <f t="shared" si="2"/>
        <v>476.4</v>
      </c>
      <c r="H30" s="504">
        <v>289.92</v>
      </c>
      <c r="I30" s="504">
        <v>186.48</v>
      </c>
      <c r="J30" s="107"/>
      <c r="K30" s="107"/>
    </row>
    <row r="31" spans="1:41" s="105" customFormat="1" ht="12.75" customHeight="1">
      <c r="A31" s="499"/>
      <c r="B31" s="251" t="s">
        <v>232</v>
      </c>
      <c r="C31" s="509">
        <f>D31+G31</f>
        <v>1563.37</v>
      </c>
      <c r="D31" s="509">
        <f>E31+F31</f>
        <v>1060.3</v>
      </c>
      <c r="E31" s="510">
        <v>150.35</v>
      </c>
      <c r="F31" s="509">
        <v>909.95</v>
      </c>
      <c r="G31" s="509">
        <f>H31+I31</f>
        <v>503.07</v>
      </c>
      <c r="H31" s="509">
        <v>315.18</v>
      </c>
      <c r="I31" s="509">
        <v>187.89</v>
      </c>
      <c r="J31" s="107"/>
      <c r="K31" s="107"/>
    </row>
    <row r="32" spans="1:41" s="105" customFormat="1" ht="12.75" customHeight="1">
      <c r="A32" s="499"/>
      <c r="B32" s="251" t="s">
        <v>233</v>
      </c>
      <c r="C32" s="509">
        <f>D32+G32</f>
        <v>1588.42</v>
      </c>
      <c r="D32" s="509">
        <f>E32+F32</f>
        <v>1071.07</v>
      </c>
      <c r="E32" s="510">
        <v>148.69999999999999</v>
      </c>
      <c r="F32" s="509">
        <v>922.37</v>
      </c>
      <c r="G32" s="509">
        <f>H32+I32</f>
        <v>517.35</v>
      </c>
      <c r="H32" s="509">
        <v>330.66</v>
      </c>
      <c r="I32" s="509">
        <v>186.69</v>
      </c>
      <c r="J32" s="107"/>
      <c r="K32" s="107"/>
      <c r="AE32" s="111"/>
      <c r="AF32" s="111"/>
      <c r="AG32" s="111"/>
      <c r="AH32" s="111"/>
      <c r="AI32" s="111"/>
      <c r="AJ32" s="111"/>
      <c r="AK32" s="111"/>
      <c r="AL32" s="111"/>
      <c r="AM32" s="111"/>
      <c r="AN32" s="111"/>
      <c r="AO32" s="111"/>
    </row>
    <row r="33" spans="1:11" s="105" customFormat="1" ht="12.75" customHeight="1">
      <c r="A33" s="500"/>
      <c r="B33" s="252" t="s">
        <v>234</v>
      </c>
      <c r="C33" s="513">
        <f t="shared" si="0"/>
        <v>1596.72</v>
      </c>
      <c r="D33" s="513">
        <f t="shared" si="1"/>
        <v>1088.19</v>
      </c>
      <c r="E33" s="514">
        <v>148.88</v>
      </c>
      <c r="F33" s="513">
        <v>939.31</v>
      </c>
      <c r="G33" s="513">
        <f t="shared" si="2"/>
        <v>508.53</v>
      </c>
      <c r="H33" s="513">
        <v>322.19</v>
      </c>
      <c r="I33" s="513">
        <v>186.34</v>
      </c>
      <c r="J33" s="107"/>
      <c r="K33" s="107"/>
    </row>
    <row r="34" spans="1:11" s="105" customFormat="1" ht="12.75" customHeight="1">
      <c r="A34" s="243">
        <v>2018</v>
      </c>
      <c r="B34" s="247" t="s">
        <v>231</v>
      </c>
      <c r="C34" s="503">
        <f t="shared" ref="C34:C44" si="3">D34+G34</f>
        <v>1586.0700000000002</v>
      </c>
      <c r="D34" s="504">
        <f t="shared" ref="D34:D44" si="4">E34+F34</f>
        <v>1083.92</v>
      </c>
      <c r="E34" s="504">
        <v>156.16999999999999</v>
      </c>
      <c r="F34" s="504">
        <v>927.75</v>
      </c>
      <c r="G34" s="504">
        <f t="shared" ref="G34:G58" si="5">H34+I34</f>
        <v>502.15000000000003</v>
      </c>
      <c r="H34" s="504">
        <v>313.04000000000002</v>
      </c>
      <c r="I34" s="504">
        <v>189.11</v>
      </c>
      <c r="J34" s="107"/>
      <c r="K34" s="107"/>
    </row>
    <row r="35" spans="1:11" s="105" customFormat="1" ht="14">
      <c r="A35" s="501"/>
      <c r="B35" s="251" t="s">
        <v>232</v>
      </c>
      <c r="C35" s="509">
        <f t="shared" si="3"/>
        <v>1610.06</v>
      </c>
      <c r="D35" s="509">
        <f t="shared" si="4"/>
        <v>1092.92</v>
      </c>
      <c r="E35" s="509">
        <v>150.41999999999999</v>
      </c>
      <c r="F35" s="509">
        <v>942.5</v>
      </c>
      <c r="G35" s="509">
        <f t="shared" si="5"/>
        <v>517.14</v>
      </c>
      <c r="H35" s="509">
        <v>329.61</v>
      </c>
      <c r="I35" s="509">
        <v>187.53</v>
      </c>
      <c r="J35" s="107"/>
      <c r="K35" s="107"/>
    </row>
    <row r="36" spans="1:11" s="105" customFormat="1" ht="14">
      <c r="A36" s="501"/>
      <c r="B36" s="273" t="s">
        <v>233</v>
      </c>
      <c r="C36" s="509">
        <f t="shared" si="3"/>
        <v>1622.33</v>
      </c>
      <c r="D36" s="509">
        <f t="shared" si="4"/>
        <v>1090.27</v>
      </c>
      <c r="E36" s="509">
        <v>154.69</v>
      </c>
      <c r="F36" s="509">
        <v>935.58</v>
      </c>
      <c r="G36" s="509">
        <f t="shared" si="5"/>
        <v>532.06000000000006</v>
      </c>
      <c r="H36" s="509">
        <v>338.23</v>
      </c>
      <c r="I36" s="509">
        <v>193.83</v>
      </c>
      <c r="J36" s="107"/>
      <c r="K36" s="107"/>
    </row>
    <row r="37" spans="1:11" s="105" customFormat="1" ht="14">
      <c r="A37" s="502"/>
      <c r="B37" s="274" t="s">
        <v>234</v>
      </c>
      <c r="C37" s="513">
        <f t="shared" si="3"/>
        <v>1625.76</v>
      </c>
      <c r="D37" s="513">
        <f t="shared" si="4"/>
        <v>1081.78</v>
      </c>
      <c r="E37" s="513">
        <v>152.96</v>
      </c>
      <c r="F37" s="513">
        <v>928.82</v>
      </c>
      <c r="G37" s="513">
        <f t="shared" si="5"/>
        <v>543.98</v>
      </c>
      <c r="H37" s="513">
        <v>347.91</v>
      </c>
      <c r="I37" s="513">
        <v>196.07</v>
      </c>
      <c r="J37" s="107"/>
      <c r="K37" s="107"/>
    </row>
    <row r="38" spans="1:11" s="105" customFormat="1" ht="14">
      <c r="A38" s="243">
        <v>2019</v>
      </c>
      <c r="B38" s="247" t="s">
        <v>231</v>
      </c>
      <c r="C38" s="504">
        <f t="shared" si="3"/>
        <v>1665.21</v>
      </c>
      <c r="D38" s="504">
        <f t="shared" si="4"/>
        <v>1124.05</v>
      </c>
      <c r="E38" s="504">
        <v>150.38999999999999</v>
      </c>
      <c r="F38" s="504">
        <v>973.66</v>
      </c>
      <c r="G38" s="504">
        <f t="shared" si="5"/>
        <v>541.16</v>
      </c>
      <c r="H38" s="504">
        <v>345.14</v>
      </c>
      <c r="I38" s="504">
        <v>196.02</v>
      </c>
      <c r="J38" s="107"/>
      <c r="K38" s="107"/>
    </row>
    <row r="39" spans="1:11" s="105" customFormat="1" ht="14">
      <c r="A39" s="499"/>
      <c r="B39" s="251" t="s">
        <v>232</v>
      </c>
      <c r="C39" s="509">
        <f t="shared" si="3"/>
        <v>1709.47</v>
      </c>
      <c r="D39" s="509">
        <f t="shared" si="4"/>
        <v>1140.74</v>
      </c>
      <c r="E39" s="509">
        <v>154.07</v>
      </c>
      <c r="F39" s="509">
        <v>986.67</v>
      </c>
      <c r="G39" s="509">
        <f t="shared" si="5"/>
        <v>568.73</v>
      </c>
      <c r="H39" s="509">
        <v>354.84</v>
      </c>
      <c r="I39" s="509">
        <v>213.89</v>
      </c>
      <c r="J39" s="107"/>
      <c r="K39" s="107"/>
    </row>
    <row r="40" spans="1:11" s="105" customFormat="1" ht="14">
      <c r="A40" s="499"/>
      <c r="B40" s="273" t="s">
        <v>233</v>
      </c>
      <c r="C40" s="509">
        <f t="shared" si="3"/>
        <v>1718.8600000000001</v>
      </c>
      <c r="D40" s="509">
        <f t="shared" si="4"/>
        <v>1171.8800000000001</v>
      </c>
      <c r="E40" s="509">
        <v>156.28</v>
      </c>
      <c r="F40" s="509">
        <v>1015.6</v>
      </c>
      <c r="G40" s="509">
        <f t="shared" si="5"/>
        <v>546.98</v>
      </c>
      <c r="H40" s="509">
        <v>338.91</v>
      </c>
      <c r="I40" s="509">
        <v>208.07</v>
      </c>
      <c r="J40" s="107"/>
      <c r="K40" s="107"/>
    </row>
    <row r="41" spans="1:11" s="105" customFormat="1" ht="14">
      <c r="A41" s="500"/>
      <c r="B41" s="274" t="s">
        <v>234</v>
      </c>
      <c r="C41" s="513">
        <f t="shared" si="3"/>
        <v>1762.4099999999999</v>
      </c>
      <c r="D41" s="513">
        <f t="shared" si="4"/>
        <v>1201.3</v>
      </c>
      <c r="E41" s="513">
        <v>172.57</v>
      </c>
      <c r="F41" s="513">
        <v>1028.73</v>
      </c>
      <c r="G41" s="513">
        <f t="shared" si="5"/>
        <v>561.11</v>
      </c>
      <c r="H41" s="513">
        <v>351.48</v>
      </c>
      <c r="I41" s="513">
        <v>209.63</v>
      </c>
      <c r="J41" s="107"/>
      <c r="K41" s="107"/>
    </row>
    <row r="42" spans="1:11" s="105" customFormat="1" ht="14">
      <c r="A42" s="243">
        <v>2020</v>
      </c>
      <c r="B42" s="272" t="s">
        <v>231</v>
      </c>
      <c r="C42" s="504">
        <f t="shared" si="3"/>
        <v>1768.3899999999999</v>
      </c>
      <c r="D42" s="504">
        <f t="shared" si="4"/>
        <v>1170.8</v>
      </c>
      <c r="E42" s="504">
        <v>177.99</v>
      </c>
      <c r="F42" s="504">
        <v>992.81</v>
      </c>
      <c r="G42" s="504">
        <f t="shared" si="5"/>
        <v>597.59</v>
      </c>
      <c r="H42" s="504">
        <v>386.54</v>
      </c>
      <c r="I42" s="504">
        <v>211.05</v>
      </c>
      <c r="J42" s="107"/>
      <c r="K42" s="107"/>
    </row>
    <row r="43" spans="1:11" s="105" customFormat="1" ht="14">
      <c r="A43" s="499"/>
      <c r="B43" s="273" t="s">
        <v>232</v>
      </c>
      <c r="C43" s="509">
        <f t="shared" si="3"/>
        <v>1820.59</v>
      </c>
      <c r="D43" s="509">
        <f t="shared" si="4"/>
        <v>1238.5899999999999</v>
      </c>
      <c r="E43" s="509">
        <v>162.26</v>
      </c>
      <c r="F43" s="509">
        <v>1076.33</v>
      </c>
      <c r="G43" s="509">
        <f t="shared" si="5"/>
        <v>582</v>
      </c>
      <c r="H43" s="509">
        <v>367.78</v>
      </c>
      <c r="I43" s="509">
        <v>214.22</v>
      </c>
      <c r="J43" s="107"/>
      <c r="K43" s="107"/>
    </row>
    <row r="44" spans="1:11" s="105" customFormat="1" ht="14">
      <c r="A44" s="499"/>
      <c r="B44" s="273" t="s">
        <v>233</v>
      </c>
      <c r="C44" s="509">
        <f t="shared" si="3"/>
        <v>1852.8600000000001</v>
      </c>
      <c r="D44" s="509">
        <f t="shared" si="4"/>
        <v>1281.8500000000001</v>
      </c>
      <c r="E44" s="509">
        <v>167.66</v>
      </c>
      <c r="F44" s="509">
        <v>1114.19</v>
      </c>
      <c r="G44" s="509">
        <f t="shared" si="5"/>
        <v>571.01</v>
      </c>
      <c r="H44" s="509">
        <v>359.17</v>
      </c>
      <c r="I44" s="509">
        <v>211.84</v>
      </c>
      <c r="J44" s="107"/>
      <c r="K44" s="107"/>
    </row>
    <row r="45" spans="1:11" s="105" customFormat="1" ht="14">
      <c r="A45" s="500"/>
      <c r="B45" s="274" t="s">
        <v>234</v>
      </c>
      <c r="C45" s="513">
        <f t="shared" ref="C45:C56" si="6">D45+G45</f>
        <v>1954.3999999999999</v>
      </c>
      <c r="D45" s="513">
        <f t="shared" ref="D45:D56" si="7">E45+F45</f>
        <v>1358.6599999999999</v>
      </c>
      <c r="E45" s="513">
        <v>171.11</v>
      </c>
      <c r="F45" s="513">
        <v>1187.55</v>
      </c>
      <c r="G45" s="513">
        <f t="shared" si="5"/>
        <v>595.74</v>
      </c>
      <c r="H45" s="513">
        <v>380.02</v>
      </c>
      <c r="I45" s="513">
        <v>215.72</v>
      </c>
      <c r="J45" s="107"/>
      <c r="K45" s="107"/>
    </row>
    <row r="46" spans="1:11" s="105" customFormat="1" ht="14">
      <c r="A46" s="243">
        <v>2021</v>
      </c>
      <c r="B46" s="272" t="s">
        <v>231</v>
      </c>
      <c r="C46" s="504">
        <f t="shared" si="6"/>
        <v>1946.1000000000001</v>
      </c>
      <c r="D46" s="504">
        <f t="shared" si="7"/>
        <v>1344.15</v>
      </c>
      <c r="E46" s="504">
        <v>176.75</v>
      </c>
      <c r="F46" s="504">
        <v>1167.4000000000001</v>
      </c>
      <c r="G46" s="504">
        <f t="shared" si="5"/>
        <v>601.95000000000005</v>
      </c>
      <c r="H46" s="504">
        <v>382.25</v>
      </c>
      <c r="I46" s="504">
        <v>219.7</v>
      </c>
      <c r="J46" s="107"/>
      <c r="K46" s="107"/>
    </row>
    <row r="47" spans="1:11" s="105" customFormat="1" ht="14">
      <c r="A47" s="501"/>
      <c r="B47" s="273" t="s">
        <v>232</v>
      </c>
      <c r="C47" s="509">
        <f t="shared" si="6"/>
        <v>2009</v>
      </c>
      <c r="D47" s="509">
        <f t="shared" si="7"/>
        <v>1392.31</v>
      </c>
      <c r="E47" s="509">
        <v>165.7</v>
      </c>
      <c r="F47" s="509">
        <v>1226.6099999999999</v>
      </c>
      <c r="G47" s="509">
        <f t="shared" si="5"/>
        <v>616.69000000000005</v>
      </c>
      <c r="H47" s="509">
        <v>402.62</v>
      </c>
      <c r="I47" s="509">
        <v>214.07</v>
      </c>
      <c r="J47" s="107"/>
      <c r="K47" s="107"/>
    </row>
    <row r="48" spans="1:11" s="105" customFormat="1" ht="14">
      <c r="A48" s="501"/>
      <c r="B48" s="273" t="s">
        <v>233</v>
      </c>
      <c r="C48" s="509">
        <f t="shared" si="6"/>
        <v>1989.25</v>
      </c>
      <c r="D48" s="509">
        <f t="shared" si="7"/>
        <v>1370.1789999999999</v>
      </c>
      <c r="E48" s="509">
        <v>165.47499999999999</v>
      </c>
      <c r="F48" s="509">
        <v>1204.704</v>
      </c>
      <c r="G48" s="509">
        <f t="shared" si="5"/>
        <v>619.07100000000003</v>
      </c>
      <c r="H48" s="509">
        <v>402.31200000000001</v>
      </c>
      <c r="I48" s="509">
        <v>216.75899999999999</v>
      </c>
      <c r="J48" s="107"/>
      <c r="K48" s="107"/>
    </row>
    <row r="49" spans="1:11" s="105" customFormat="1" ht="14">
      <c r="A49" s="242"/>
      <c r="B49" s="274" t="s">
        <v>234</v>
      </c>
      <c r="C49" s="513">
        <f t="shared" si="6"/>
        <v>1975.91</v>
      </c>
      <c r="D49" s="513">
        <f t="shared" si="7"/>
        <v>1365.9</v>
      </c>
      <c r="E49" s="513">
        <v>175.02</v>
      </c>
      <c r="F49" s="513">
        <v>1190.8800000000001</v>
      </c>
      <c r="G49" s="513">
        <f t="shared" si="5"/>
        <v>610.01</v>
      </c>
      <c r="H49" s="513">
        <v>391.54</v>
      </c>
      <c r="I49" s="513">
        <v>218.47</v>
      </c>
      <c r="J49" s="107"/>
      <c r="K49" s="107"/>
    </row>
    <row r="50" spans="1:11" s="105" customFormat="1" ht="14">
      <c r="A50" s="243">
        <v>2022</v>
      </c>
      <c r="B50" s="272" t="s">
        <v>231</v>
      </c>
      <c r="C50" s="504">
        <f t="shared" si="6"/>
        <v>1926.85</v>
      </c>
      <c r="D50" s="504">
        <f t="shared" si="7"/>
        <v>1296.74</v>
      </c>
      <c r="E50" s="504">
        <v>168.44</v>
      </c>
      <c r="F50" s="504">
        <v>1128.3</v>
      </c>
      <c r="G50" s="504">
        <f t="shared" si="5"/>
        <v>630.11</v>
      </c>
      <c r="H50" s="504">
        <v>413.41</v>
      </c>
      <c r="I50" s="504">
        <v>216.7</v>
      </c>
      <c r="J50" s="107"/>
      <c r="K50" s="107"/>
    </row>
    <row r="51" spans="1:11" s="105" customFormat="1" ht="14">
      <c r="A51" s="499"/>
      <c r="B51" s="273" t="s">
        <v>232</v>
      </c>
      <c r="C51" s="509">
        <f t="shared" si="6"/>
        <v>1864.4349999999999</v>
      </c>
      <c r="D51" s="509">
        <f t="shared" si="7"/>
        <v>1245.52</v>
      </c>
      <c r="E51" s="509">
        <v>166.17</v>
      </c>
      <c r="F51" s="509">
        <v>1079.3499999999999</v>
      </c>
      <c r="G51" s="509">
        <f t="shared" si="5"/>
        <v>618.91499999999996</v>
      </c>
      <c r="H51" s="509">
        <v>405.01100000000002</v>
      </c>
      <c r="I51" s="509">
        <v>213.904</v>
      </c>
      <c r="J51" s="107"/>
      <c r="K51" s="107"/>
    </row>
    <row r="52" spans="1:11" s="105" customFormat="1" ht="14">
      <c r="A52" s="499"/>
      <c r="B52" s="273" t="s">
        <v>233</v>
      </c>
      <c r="C52" s="509">
        <f t="shared" si="6"/>
        <v>1836.8100000000002</v>
      </c>
      <c r="D52" s="509">
        <f t="shared" si="7"/>
        <v>1212.3600000000001</v>
      </c>
      <c r="E52" s="509">
        <v>163.63999999999999</v>
      </c>
      <c r="F52" s="509">
        <v>1048.72</v>
      </c>
      <c r="G52" s="509">
        <f t="shared" si="5"/>
        <v>624.45000000000005</v>
      </c>
      <c r="H52" s="509">
        <v>408.79</v>
      </c>
      <c r="I52" s="509">
        <v>215.66</v>
      </c>
      <c r="J52" s="107"/>
      <c r="K52" s="107"/>
    </row>
    <row r="53" spans="1:11" s="105" customFormat="1" ht="14">
      <c r="A53" s="500"/>
      <c r="B53" s="274" t="s">
        <v>234</v>
      </c>
      <c r="C53" s="513">
        <f t="shared" si="6"/>
        <v>1882.31</v>
      </c>
      <c r="D53" s="513">
        <f t="shared" si="7"/>
        <v>1240.05</v>
      </c>
      <c r="E53" s="513">
        <v>166.75</v>
      </c>
      <c r="F53" s="513">
        <v>1073.3</v>
      </c>
      <c r="G53" s="513">
        <f t="shared" si="5"/>
        <v>642.26</v>
      </c>
      <c r="H53" s="513">
        <v>429.82</v>
      </c>
      <c r="I53" s="513">
        <v>212.44</v>
      </c>
      <c r="J53" s="107"/>
      <c r="K53" s="107"/>
    </row>
    <row r="54" spans="1:11" s="105" customFormat="1" ht="14">
      <c r="A54" s="243">
        <v>2023</v>
      </c>
      <c r="B54" s="272" t="s">
        <v>231</v>
      </c>
      <c r="C54" s="504">
        <f t="shared" si="6"/>
        <v>1939.4800000000002</v>
      </c>
      <c r="D54" s="504">
        <f t="shared" si="7"/>
        <v>1289.8000000000002</v>
      </c>
      <c r="E54" s="504">
        <v>165.92</v>
      </c>
      <c r="F54" s="504">
        <v>1123.8800000000001</v>
      </c>
      <c r="G54" s="504">
        <f t="shared" si="5"/>
        <v>649.68000000000006</v>
      </c>
      <c r="H54" s="504">
        <v>435.05</v>
      </c>
      <c r="I54" s="504">
        <v>214.63</v>
      </c>
      <c r="J54" s="107"/>
      <c r="K54" s="107"/>
    </row>
    <row r="55" spans="1:11" s="105" customFormat="1" ht="14">
      <c r="A55" s="499"/>
      <c r="B55" s="273" t="s">
        <v>232</v>
      </c>
      <c r="C55" s="509">
        <f t="shared" si="6"/>
        <v>1923.8880000000001</v>
      </c>
      <c r="D55" s="509">
        <f t="shared" si="7"/>
        <v>1281.5630000000001</v>
      </c>
      <c r="E55" s="509">
        <v>167.11500000000001</v>
      </c>
      <c r="F55" s="509">
        <v>1114.4480000000001</v>
      </c>
      <c r="G55" s="509">
        <f t="shared" si="5"/>
        <v>642.32500000000005</v>
      </c>
      <c r="H55" s="509">
        <v>423.71899999999999</v>
      </c>
      <c r="I55" s="509">
        <v>218.60599999999999</v>
      </c>
      <c r="J55" s="107"/>
      <c r="K55" s="107"/>
    </row>
    <row r="56" spans="1:11" s="105" customFormat="1" ht="14">
      <c r="A56" s="499"/>
      <c r="B56" s="273" t="s">
        <v>233</v>
      </c>
      <c r="C56" s="509">
        <f t="shared" si="6"/>
        <v>1926.8020000000001</v>
      </c>
      <c r="D56" s="509">
        <f t="shared" si="7"/>
        <v>1284.5</v>
      </c>
      <c r="E56" s="509">
        <v>182.84</v>
      </c>
      <c r="F56" s="509">
        <v>1101.6600000000001</v>
      </c>
      <c r="G56" s="509">
        <f t="shared" si="5"/>
        <v>642.30200000000002</v>
      </c>
      <c r="H56" s="509">
        <v>420.12</v>
      </c>
      <c r="I56" s="509">
        <v>222.18199999999999</v>
      </c>
      <c r="J56" s="107"/>
      <c r="K56" s="107"/>
    </row>
    <row r="57" spans="1:11" s="105" customFormat="1" ht="14">
      <c r="A57" s="500"/>
      <c r="B57" s="274" t="s">
        <v>234</v>
      </c>
      <c r="C57" s="513">
        <f t="shared" ref="C57" si="8">D57+G57</f>
        <v>2020.29</v>
      </c>
      <c r="D57" s="513">
        <f t="shared" ref="D57" si="9">E57+F57</f>
        <v>1357.67</v>
      </c>
      <c r="E57" s="513">
        <v>185.99</v>
      </c>
      <c r="F57" s="513">
        <v>1171.68</v>
      </c>
      <c r="G57" s="513">
        <f t="shared" si="5"/>
        <v>662.62</v>
      </c>
      <c r="H57" s="513">
        <v>434.67</v>
      </c>
      <c r="I57" s="513">
        <v>227.95</v>
      </c>
      <c r="J57" s="107"/>
      <c r="K57" s="107"/>
    </row>
    <row r="58" spans="1:11" s="105" customFormat="1" ht="14">
      <c r="A58" s="243">
        <v>2024</v>
      </c>
      <c r="B58" s="272" t="s">
        <v>231</v>
      </c>
      <c r="C58" s="504">
        <f t="shared" ref="C58" si="10">D58+G58</f>
        <v>2044.69</v>
      </c>
      <c r="D58" s="504">
        <f t="shared" ref="D58" si="11">E58+F58</f>
        <v>1384.65</v>
      </c>
      <c r="E58" s="504">
        <v>196.21</v>
      </c>
      <c r="F58" s="504">
        <v>1188.44</v>
      </c>
      <c r="G58" s="504">
        <f t="shared" si="5"/>
        <v>660.04</v>
      </c>
      <c r="H58" s="504">
        <v>424.5</v>
      </c>
      <c r="I58" s="504">
        <v>235.54</v>
      </c>
      <c r="J58" s="107"/>
      <c r="K58" s="107"/>
    </row>
    <row r="59" spans="1:11" s="105" customFormat="1" ht="14">
      <c r="A59" s="499"/>
      <c r="B59" s="273" t="s">
        <v>232</v>
      </c>
      <c r="C59" s="509">
        <f t="shared" ref="C59" si="12">D59+G59</f>
        <v>2027.45</v>
      </c>
      <c r="D59" s="509">
        <f t="shared" ref="D59" si="13">E59+F59</f>
        <v>1409.41</v>
      </c>
      <c r="E59" s="519">
        <v>188.42</v>
      </c>
      <c r="F59" s="519">
        <v>1220.99</v>
      </c>
      <c r="G59" s="509">
        <f t="shared" ref="G59:G66" si="14">H59+I59</f>
        <v>618.04</v>
      </c>
      <c r="H59" s="519">
        <v>389.21</v>
      </c>
      <c r="I59" s="519">
        <v>228.83</v>
      </c>
      <c r="J59" s="107"/>
      <c r="K59" s="107"/>
    </row>
    <row r="60" spans="1:11" s="105" customFormat="1" ht="14">
      <c r="A60" s="499"/>
      <c r="B60" s="273" t="s">
        <v>233</v>
      </c>
      <c r="C60" s="509">
        <f t="shared" ref="C60" si="15">D60+G60</f>
        <v>2059.54</v>
      </c>
      <c r="D60" s="509">
        <f t="shared" ref="D60" si="16">E60+F60</f>
        <v>1450.96</v>
      </c>
      <c r="E60" s="509">
        <v>182.58</v>
      </c>
      <c r="F60" s="509">
        <v>1268.3800000000001</v>
      </c>
      <c r="G60" s="509">
        <f t="shared" si="14"/>
        <v>608.58000000000004</v>
      </c>
      <c r="H60" s="509">
        <v>378.61</v>
      </c>
      <c r="I60" s="509">
        <v>229.97</v>
      </c>
      <c r="J60" s="107"/>
      <c r="K60" s="107"/>
    </row>
    <row r="61" spans="1:11" s="105" customFormat="1" ht="14">
      <c r="A61" s="500"/>
      <c r="B61" s="274" t="s">
        <v>234</v>
      </c>
      <c r="C61" s="513">
        <f t="shared" ref="C61" si="17">D61+G61</f>
        <v>2131.14</v>
      </c>
      <c r="D61" s="513">
        <f t="shared" ref="D61" si="18">E61+F61</f>
        <v>1526.26</v>
      </c>
      <c r="E61" s="513">
        <v>179.23</v>
      </c>
      <c r="F61" s="513">
        <v>1347.03</v>
      </c>
      <c r="G61" s="513">
        <f t="shared" si="14"/>
        <v>604.88</v>
      </c>
      <c r="H61" s="513">
        <v>374.82</v>
      </c>
      <c r="I61" s="513">
        <v>230.06</v>
      </c>
      <c r="J61" s="107"/>
      <c r="K61" s="107"/>
    </row>
    <row r="62" spans="1:11" s="105" customFormat="1" ht="14">
      <c r="A62" s="243">
        <v>2025</v>
      </c>
      <c r="B62" s="272" t="s">
        <v>231</v>
      </c>
      <c r="C62" s="504">
        <f t="shared" ref="C62" si="19">D62+G62</f>
        <v>1998.6130000000003</v>
      </c>
      <c r="D62" s="504">
        <f t="shared" ref="D62" si="20">E62+F62</f>
        <v>1389.8020000000001</v>
      </c>
      <c r="E62" s="504">
        <v>147.249</v>
      </c>
      <c r="F62" s="504">
        <v>1242.5530000000001</v>
      </c>
      <c r="G62" s="504">
        <f t="shared" si="14"/>
        <v>608.81100000000004</v>
      </c>
      <c r="H62" s="504">
        <v>370.20600000000002</v>
      </c>
      <c r="I62" s="504">
        <v>238.60499999999999</v>
      </c>
      <c r="J62" s="107"/>
      <c r="K62" s="107"/>
    </row>
    <row r="63" spans="1:11" s="105" customFormat="1" ht="14">
      <c r="A63" s="499"/>
      <c r="B63" s="273" t="s">
        <v>232</v>
      </c>
      <c r="C63" s="509">
        <f t="shared" ref="C63:C64" si="21">D63+G63</f>
        <v>2089.5699999999997</v>
      </c>
      <c r="D63" s="509">
        <f t="shared" ref="D63:D64" si="22">E63+F63</f>
        <v>1449.3899999999999</v>
      </c>
      <c r="E63" s="509">
        <v>150.53</v>
      </c>
      <c r="F63" s="509">
        <v>1298.8599999999999</v>
      </c>
      <c r="G63" s="509">
        <f t="shared" si="14"/>
        <v>640.18000000000006</v>
      </c>
      <c r="H63" s="509">
        <v>402.82</v>
      </c>
      <c r="I63" s="509">
        <v>237.36</v>
      </c>
      <c r="J63" s="107"/>
      <c r="K63" s="107"/>
    </row>
    <row r="64" spans="1:11" s="105" customFormat="1" ht="14">
      <c r="A64" s="499"/>
      <c r="B64" s="273" t="s">
        <v>233</v>
      </c>
      <c r="C64" s="509">
        <f t="shared" si="21"/>
        <v>2159.3450000000003</v>
      </c>
      <c r="D64" s="509">
        <f t="shared" si="22"/>
        <v>1535.048</v>
      </c>
      <c r="E64" s="509">
        <v>154.16999999999999</v>
      </c>
      <c r="F64" s="509">
        <v>1380.8779999999999</v>
      </c>
      <c r="G64" s="509">
        <f t="shared" si="14"/>
        <v>624.29700000000003</v>
      </c>
      <c r="H64" s="509">
        <v>388.11599999999999</v>
      </c>
      <c r="I64" s="509">
        <v>236.18100000000001</v>
      </c>
      <c r="J64" s="107"/>
      <c r="K64" s="107"/>
    </row>
    <row r="65" spans="1:11" s="105" customFormat="1" ht="14">
      <c r="A65" s="500"/>
      <c r="B65" s="274" t="s">
        <v>234</v>
      </c>
      <c r="C65" s="513">
        <f t="shared" ref="C65" si="23">D65+G65</f>
        <v>2177.7510000000002</v>
      </c>
      <c r="D65" s="513">
        <f t="shared" ref="D65" si="24">E65+F65</f>
        <v>1557.9690000000001</v>
      </c>
      <c r="E65" s="513">
        <v>150.86199999999999</v>
      </c>
      <c r="F65" s="513">
        <v>1407.107</v>
      </c>
      <c r="G65" s="513">
        <f t="shared" si="14"/>
        <v>619.78200000000004</v>
      </c>
      <c r="H65" s="513">
        <v>384.66300000000001</v>
      </c>
      <c r="I65" s="513">
        <v>235.119</v>
      </c>
      <c r="J65" s="107"/>
      <c r="K65" s="107"/>
    </row>
    <row r="66" spans="1:11" s="105" customFormat="1" ht="14">
      <c r="A66" s="679">
        <v>2026</v>
      </c>
      <c r="B66" s="676" t="s">
        <v>231</v>
      </c>
      <c r="C66" s="680">
        <f t="shared" ref="C66" si="25">D66+G66</f>
        <v>2281.2470000000003</v>
      </c>
      <c r="D66" s="680">
        <f t="shared" ref="D66" si="26">E66+F66</f>
        <v>1647.5320000000002</v>
      </c>
      <c r="E66" s="680">
        <v>165.065</v>
      </c>
      <c r="F66" s="680">
        <v>1482.4670000000001</v>
      </c>
      <c r="G66" s="680">
        <f t="shared" si="14"/>
        <v>633.71500000000003</v>
      </c>
      <c r="H66" s="680">
        <v>402.46899999999999</v>
      </c>
      <c r="I66" s="680">
        <v>231.24600000000001</v>
      </c>
      <c r="J66" s="107"/>
      <c r="K66" s="107"/>
    </row>
    <row r="67" spans="1:11">
      <c r="B67" s="67"/>
      <c r="C67" s="82"/>
      <c r="E67" s="74"/>
      <c r="F67" s="74"/>
      <c r="G67" s="74"/>
      <c r="H67" s="74"/>
      <c r="I67" s="74"/>
    </row>
    <row r="68" spans="1:11">
      <c r="A68" s="171" t="s">
        <v>195</v>
      </c>
    </row>
    <row r="69" spans="1:11">
      <c r="A69" s="161"/>
      <c r="C69" s="82"/>
      <c r="D69" s="82"/>
      <c r="E69" s="82"/>
      <c r="F69" s="82"/>
      <c r="G69" s="82"/>
      <c r="H69" s="82"/>
      <c r="I69" s="82"/>
    </row>
    <row r="70" spans="1:11">
      <c r="A70" s="161" t="s">
        <v>119</v>
      </c>
    </row>
    <row r="71" spans="1:11">
      <c r="A71" s="161" t="s">
        <v>120</v>
      </c>
      <c r="C71" s="86"/>
    </row>
    <row r="72" spans="1:11">
      <c r="A72" s="168" t="s">
        <v>168</v>
      </c>
    </row>
  </sheetData>
  <sheetProtection sheet="1" formatCells="0" insertColumns="0" insertRows="0" deleteColumns="0" deleteRows="0"/>
  <mergeCells count="7">
    <mergeCell ref="A1:F1"/>
    <mergeCell ref="G4:I4"/>
    <mergeCell ref="A2:I2"/>
    <mergeCell ref="A3:B5"/>
    <mergeCell ref="C3:I3"/>
    <mergeCell ref="C4:C5"/>
    <mergeCell ref="D4:F4"/>
  </mergeCells>
  <printOptions horizontalCentered="1"/>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72"/>
  <sheetViews>
    <sheetView zoomScaleNormal="100" workbookViewId="0">
      <pane ySplit="5" topLeftCell="A38" activePane="bottomLeft" state="frozen"/>
      <selection activeCell="G153" sqref="G153"/>
      <selection pane="bottomLeft" activeCell="C66" sqref="C66"/>
    </sheetView>
  </sheetViews>
  <sheetFormatPr defaultColWidth="9.1796875" defaultRowHeight="13"/>
  <cols>
    <col min="1" max="1" width="6.81640625" style="65" customWidth="1"/>
    <col min="2" max="2" width="9.1796875" style="65" customWidth="1"/>
    <col min="3" max="9" width="13.81640625" style="65" customWidth="1"/>
    <col min="10" max="16384" width="9.1796875" style="65"/>
  </cols>
  <sheetData>
    <row r="1" spans="1:11" ht="15.5">
      <c r="A1" s="709" t="s">
        <v>278</v>
      </c>
      <c r="B1" s="709"/>
      <c r="C1" s="709"/>
      <c r="D1" s="709"/>
      <c r="E1" s="709"/>
      <c r="F1" s="709"/>
    </row>
    <row r="2" spans="1:11" ht="14">
      <c r="A2" s="760" t="s">
        <v>97</v>
      </c>
      <c r="B2" s="760"/>
      <c r="C2" s="760"/>
      <c r="D2" s="760"/>
      <c r="E2" s="760"/>
      <c r="F2" s="760"/>
      <c r="G2" s="760"/>
      <c r="H2" s="760"/>
      <c r="I2" s="760"/>
    </row>
    <row r="3" spans="1:11" s="105" customFormat="1" ht="15" customHeight="1">
      <c r="A3" s="717" t="s">
        <v>98</v>
      </c>
      <c r="B3" s="718"/>
      <c r="C3" s="798" t="s">
        <v>279</v>
      </c>
      <c r="D3" s="799"/>
      <c r="E3" s="799"/>
      <c r="F3" s="799"/>
      <c r="G3" s="799"/>
      <c r="H3" s="799"/>
      <c r="I3" s="800"/>
    </row>
    <row r="4" spans="1:11" s="105" customFormat="1" ht="15" customHeight="1">
      <c r="A4" s="751"/>
      <c r="B4" s="752"/>
      <c r="C4" s="732" t="s">
        <v>102</v>
      </c>
      <c r="D4" s="801" t="s">
        <v>272</v>
      </c>
      <c r="E4" s="802"/>
      <c r="F4" s="803"/>
      <c r="G4" s="801" t="s">
        <v>273</v>
      </c>
      <c r="H4" s="802"/>
      <c r="I4" s="803"/>
    </row>
    <row r="5" spans="1:11" s="105" customFormat="1" ht="15" customHeight="1">
      <c r="A5" s="719"/>
      <c r="B5" s="720"/>
      <c r="C5" s="732"/>
      <c r="D5" s="279" t="s">
        <v>102</v>
      </c>
      <c r="E5" s="280" t="s">
        <v>274</v>
      </c>
      <c r="F5" s="280" t="s">
        <v>275</v>
      </c>
      <c r="G5" s="279" t="s">
        <v>102</v>
      </c>
      <c r="H5" s="280" t="s">
        <v>274</v>
      </c>
      <c r="I5" s="280" t="s">
        <v>277</v>
      </c>
    </row>
    <row r="6" spans="1:11" s="105" customFormat="1" ht="14">
      <c r="A6" s="238">
        <v>2011</v>
      </c>
      <c r="B6" s="272" t="s">
        <v>231</v>
      </c>
      <c r="C6" s="388">
        <f>D6+G6</f>
        <v>75.72999999999999</v>
      </c>
      <c r="D6" s="378">
        <f>E6+F6</f>
        <v>38.4</v>
      </c>
      <c r="E6" s="388">
        <v>18.72</v>
      </c>
      <c r="F6" s="380">
        <v>19.68</v>
      </c>
      <c r="G6" s="379">
        <f>H6+I6</f>
        <v>37.33</v>
      </c>
      <c r="H6" s="380">
        <v>20.68</v>
      </c>
      <c r="I6" s="379">
        <v>16.649999999999999</v>
      </c>
      <c r="J6" s="110"/>
      <c r="K6" s="110"/>
    </row>
    <row r="7" spans="1:11" s="105" customFormat="1" ht="14">
      <c r="A7" s="239"/>
      <c r="B7" s="273" t="s">
        <v>232</v>
      </c>
      <c r="C7" s="386">
        <f>D7+G7</f>
        <v>70.239999999999995</v>
      </c>
      <c r="D7" s="382">
        <f>E7+F7</f>
        <v>28.419999999999998</v>
      </c>
      <c r="E7" s="386">
        <v>11.18</v>
      </c>
      <c r="F7" s="381">
        <v>17.239999999999998</v>
      </c>
      <c r="G7" s="383">
        <f>H7+I7</f>
        <v>41.819999999999993</v>
      </c>
      <c r="H7" s="381">
        <v>37.659999999999997</v>
      </c>
      <c r="I7" s="383">
        <v>4.16</v>
      </c>
      <c r="J7" s="110"/>
      <c r="K7" s="110"/>
    </row>
    <row r="8" spans="1:11" s="105" customFormat="1" ht="14">
      <c r="A8" s="239"/>
      <c r="B8" s="273" t="s">
        <v>233</v>
      </c>
      <c r="C8" s="386">
        <f t="shared" ref="C8:C42" si="0">D8+G8</f>
        <v>56.23</v>
      </c>
      <c r="D8" s="382">
        <f t="shared" ref="D8:D42" si="1">E8+F8</f>
        <v>33.68</v>
      </c>
      <c r="E8" s="386">
        <v>16.329999999999998</v>
      </c>
      <c r="F8" s="381">
        <v>17.350000000000001</v>
      </c>
      <c r="G8" s="383">
        <f t="shared" ref="G8:G66" si="2">H8+I8</f>
        <v>22.549999999999997</v>
      </c>
      <c r="H8" s="381">
        <v>18.47</v>
      </c>
      <c r="I8" s="383">
        <v>4.08</v>
      </c>
      <c r="J8" s="110"/>
      <c r="K8" s="110"/>
    </row>
    <row r="9" spans="1:11" s="105" customFormat="1" ht="14">
      <c r="A9" s="240"/>
      <c r="B9" s="274" t="s">
        <v>234</v>
      </c>
      <c r="C9" s="390">
        <f t="shared" si="0"/>
        <v>64.209999999999994</v>
      </c>
      <c r="D9" s="384">
        <f t="shared" si="1"/>
        <v>37.989999999999995</v>
      </c>
      <c r="E9" s="390">
        <v>19.63</v>
      </c>
      <c r="F9" s="385">
        <v>18.36</v>
      </c>
      <c r="G9" s="307">
        <f t="shared" si="2"/>
        <v>26.22</v>
      </c>
      <c r="H9" s="385">
        <v>21.23</v>
      </c>
      <c r="I9" s="307">
        <v>4.99</v>
      </c>
      <c r="J9" s="110"/>
      <c r="K9" s="110"/>
    </row>
    <row r="10" spans="1:11" s="105" customFormat="1" ht="14">
      <c r="A10" s="239">
        <v>2012</v>
      </c>
      <c r="B10" s="273" t="s">
        <v>231</v>
      </c>
      <c r="C10" s="386">
        <f t="shared" si="0"/>
        <v>83.47</v>
      </c>
      <c r="D10" s="382">
        <f t="shared" si="1"/>
        <v>39.629999999999995</v>
      </c>
      <c r="E10" s="386">
        <v>23.4</v>
      </c>
      <c r="F10" s="381">
        <v>16.23</v>
      </c>
      <c r="G10" s="383">
        <f t="shared" si="2"/>
        <v>43.84</v>
      </c>
      <c r="H10" s="381">
        <v>28.09</v>
      </c>
      <c r="I10" s="383">
        <v>15.75</v>
      </c>
      <c r="J10" s="110"/>
      <c r="K10" s="110"/>
    </row>
    <row r="11" spans="1:11" s="105" customFormat="1" ht="14">
      <c r="A11" s="239"/>
      <c r="B11" s="273" t="s">
        <v>232</v>
      </c>
      <c r="C11" s="386">
        <f t="shared" si="0"/>
        <v>78.06</v>
      </c>
      <c r="D11" s="382">
        <f t="shared" si="1"/>
        <v>31.13</v>
      </c>
      <c r="E11" s="386">
        <v>12.93</v>
      </c>
      <c r="F11" s="381">
        <v>18.2</v>
      </c>
      <c r="G11" s="383">
        <f t="shared" si="2"/>
        <v>46.93</v>
      </c>
      <c r="H11" s="381">
        <v>42.24</v>
      </c>
      <c r="I11" s="383">
        <v>4.6900000000000004</v>
      </c>
      <c r="J11" s="110"/>
      <c r="K11" s="110"/>
    </row>
    <row r="12" spans="1:11" s="105" customFormat="1" ht="14">
      <c r="A12" s="239"/>
      <c r="B12" s="273" t="s">
        <v>233</v>
      </c>
      <c r="C12" s="386">
        <f t="shared" si="0"/>
        <v>65.55</v>
      </c>
      <c r="D12" s="382">
        <f t="shared" si="1"/>
        <v>35.270000000000003</v>
      </c>
      <c r="E12" s="386">
        <v>17.850000000000001</v>
      </c>
      <c r="F12" s="381">
        <v>17.420000000000002</v>
      </c>
      <c r="G12" s="383">
        <f t="shared" si="2"/>
        <v>30.279999999999998</v>
      </c>
      <c r="H12" s="381">
        <v>25.47</v>
      </c>
      <c r="I12" s="383">
        <v>4.8099999999999996</v>
      </c>
      <c r="J12" s="110"/>
      <c r="K12" s="110"/>
    </row>
    <row r="13" spans="1:11" s="105" customFormat="1" ht="14">
      <c r="A13" s="239"/>
      <c r="B13" s="273" t="s">
        <v>234</v>
      </c>
      <c r="C13" s="390">
        <f t="shared" si="0"/>
        <v>55.64</v>
      </c>
      <c r="D13" s="384">
        <f t="shared" si="1"/>
        <v>30.560000000000002</v>
      </c>
      <c r="E13" s="390">
        <v>11.63</v>
      </c>
      <c r="F13" s="385">
        <v>18.93</v>
      </c>
      <c r="G13" s="307">
        <f t="shared" si="2"/>
        <v>25.08</v>
      </c>
      <c r="H13" s="381">
        <v>19.38</v>
      </c>
      <c r="I13" s="383">
        <v>5.7</v>
      </c>
      <c r="J13" s="110"/>
      <c r="K13" s="110"/>
    </row>
    <row r="14" spans="1:11" s="105" customFormat="1" ht="14">
      <c r="A14" s="238">
        <v>2013</v>
      </c>
      <c r="B14" s="272" t="s">
        <v>231</v>
      </c>
      <c r="C14" s="386">
        <f t="shared" si="0"/>
        <v>98.86</v>
      </c>
      <c r="D14" s="382">
        <f t="shared" si="1"/>
        <v>42.5</v>
      </c>
      <c r="E14" s="383">
        <v>25.65</v>
      </c>
      <c r="F14" s="381">
        <v>16.850000000000001</v>
      </c>
      <c r="G14" s="383">
        <f t="shared" si="2"/>
        <v>56.36</v>
      </c>
      <c r="H14" s="380">
        <v>25.88</v>
      </c>
      <c r="I14" s="379">
        <v>30.48</v>
      </c>
      <c r="J14" s="110"/>
      <c r="K14" s="110"/>
    </row>
    <row r="15" spans="1:11" s="105" customFormat="1" ht="14">
      <c r="A15" s="239"/>
      <c r="B15" s="273" t="s">
        <v>232</v>
      </c>
      <c r="C15" s="386">
        <f t="shared" si="0"/>
        <v>82.550000000000011</v>
      </c>
      <c r="D15" s="382">
        <f t="shared" si="1"/>
        <v>33.15</v>
      </c>
      <c r="E15" s="383">
        <v>15.08</v>
      </c>
      <c r="F15" s="381">
        <v>18.07</v>
      </c>
      <c r="G15" s="383">
        <f t="shared" si="2"/>
        <v>49.400000000000006</v>
      </c>
      <c r="H15" s="381">
        <v>41.17</v>
      </c>
      <c r="I15" s="383">
        <v>8.23</v>
      </c>
      <c r="J15" s="110"/>
      <c r="K15" s="110"/>
    </row>
    <row r="16" spans="1:11" s="105" customFormat="1" ht="14">
      <c r="A16" s="239"/>
      <c r="B16" s="273" t="s">
        <v>233</v>
      </c>
      <c r="C16" s="386">
        <f t="shared" si="0"/>
        <v>65.34</v>
      </c>
      <c r="D16" s="382">
        <f t="shared" si="1"/>
        <v>36.81</v>
      </c>
      <c r="E16" s="383">
        <v>17.989999999999998</v>
      </c>
      <c r="F16" s="381">
        <v>18.82</v>
      </c>
      <c r="G16" s="383">
        <f t="shared" si="2"/>
        <v>28.53</v>
      </c>
      <c r="H16" s="381">
        <v>21.25</v>
      </c>
      <c r="I16" s="383">
        <v>7.28</v>
      </c>
      <c r="J16" s="110"/>
      <c r="K16" s="110"/>
    </row>
    <row r="17" spans="1:11" s="105" customFormat="1" ht="14">
      <c r="A17" s="240"/>
      <c r="B17" s="274" t="s">
        <v>234</v>
      </c>
      <c r="C17" s="390">
        <f t="shared" si="0"/>
        <v>60.17</v>
      </c>
      <c r="D17" s="384">
        <f t="shared" si="1"/>
        <v>32.590000000000003</v>
      </c>
      <c r="E17" s="307">
        <v>14.32</v>
      </c>
      <c r="F17" s="385">
        <v>18.27</v>
      </c>
      <c r="G17" s="307">
        <f t="shared" si="2"/>
        <v>27.58</v>
      </c>
      <c r="H17" s="385">
        <v>21.11</v>
      </c>
      <c r="I17" s="307">
        <v>6.47</v>
      </c>
      <c r="J17" s="110"/>
      <c r="K17" s="110"/>
    </row>
    <row r="18" spans="1:11" s="105" customFormat="1" ht="14">
      <c r="A18" s="238">
        <v>2014</v>
      </c>
      <c r="B18" s="272" t="s">
        <v>231</v>
      </c>
      <c r="C18" s="386">
        <f t="shared" si="0"/>
        <v>81.599999999999994</v>
      </c>
      <c r="D18" s="382">
        <f t="shared" si="1"/>
        <v>39.86</v>
      </c>
      <c r="E18" s="383">
        <v>22.26</v>
      </c>
      <c r="F18" s="381">
        <v>17.600000000000001</v>
      </c>
      <c r="G18" s="383">
        <f t="shared" si="2"/>
        <v>41.74</v>
      </c>
      <c r="H18" s="380">
        <v>32.770000000000003</v>
      </c>
      <c r="I18" s="379">
        <v>8.9700000000000006</v>
      </c>
      <c r="J18" s="110"/>
      <c r="K18" s="110"/>
    </row>
    <row r="19" spans="1:11" s="105" customFormat="1" ht="14">
      <c r="A19" s="239"/>
      <c r="B19" s="273" t="s">
        <v>232</v>
      </c>
      <c r="C19" s="386">
        <f t="shared" si="0"/>
        <v>96.39</v>
      </c>
      <c r="D19" s="382">
        <f t="shared" si="1"/>
        <v>35.549999999999997</v>
      </c>
      <c r="E19" s="383">
        <v>17.739999999999998</v>
      </c>
      <c r="F19" s="381">
        <v>17.809999999999999</v>
      </c>
      <c r="G19" s="383">
        <f t="shared" si="2"/>
        <v>60.84</v>
      </c>
      <c r="H19" s="381">
        <v>42.14</v>
      </c>
      <c r="I19" s="383">
        <v>18.7</v>
      </c>
      <c r="J19" s="110"/>
      <c r="K19" s="110"/>
    </row>
    <row r="20" spans="1:11" s="105" customFormat="1" ht="14">
      <c r="A20" s="239"/>
      <c r="B20" s="273" t="s">
        <v>233</v>
      </c>
      <c r="C20" s="386">
        <f t="shared" si="0"/>
        <v>68.87</v>
      </c>
      <c r="D20" s="382">
        <f t="shared" si="1"/>
        <v>38.260000000000005</v>
      </c>
      <c r="E20" s="383">
        <v>19.41</v>
      </c>
      <c r="F20" s="381">
        <v>18.850000000000001</v>
      </c>
      <c r="G20" s="383">
        <f t="shared" si="2"/>
        <v>30.61</v>
      </c>
      <c r="H20" s="381">
        <v>23.54</v>
      </c>
      <c r="I20" s="383">
        <v>7.07</v>
      </c>
      <c r="J20" s="110"/>
      <c r="K20" s="110"/>
    </row>
    <row r="21" spans="1:11" s="105" customFormat="1" ht="14">
      <c r="A21" s="240"/>
      <c r="B21" s="274" t="s">
        <v>234</v>
      </c>
      <c r="C21" s="390">
        <f t="shared" si="0"/>
        <v>60.620000000000005</v>
      </c>
      <c r="D21" s="384">
        <f t="shared" si="1"/>
        <v>33.85</v>
      </c>
      <c r="E21" s="307">
        <v>14.41</v>
      </c>
      <c r="F21" s="385">
        <v>19.440000000000001</v>
      </c>
      <c r="G21" s="307">
        <f t="shared" si="2"/>
        <v>26.77</v>
      </c>
      <c r="H21" s="385">
        <v>21.48</v>
      </c>
      <c r="I21" s="307">
        <v>5.29</v>
      </c>
      <c r="J21" s="110"/>
      <c r="K21" s="110"/>
    </row>
    <row r="22" spans="1:11" s="105" customFormat="1" ht="14">
      <c r="A22" s="238">
        <v>2015</v>
      </c>
      <c r="B22" s="247" t="s">
        <v>231</v>
      </c>
      <c r="C22" s="386">
        <f t="shared" si="0"/>
        <v>80.88</v>
      </c>
      <c r="D22" s="382">
        <f t="shared" si="1"/>
        <v>36.629999999999995</v>
      </c>
      <c r="E22" s="383">
        <v>17.86</v>
      </c>
      <c r="F22" s="381">
        <v>18.77</v>
      </c>
      <c r="G22" s="383">
        <f t="shared" si="2"/>
        <v>44.25</v>
      </c>
      <c r="H22" s="381">
        <v>35.409999999999997</v>
      </c>
      <c r="I22" s="383">
        <v>8.84</v>
      </c>
      <c r="J22" s="110"/>
      <c r="K22" s="110"/>
    </row>
    <row r="23" spans="1:11" s="105" customFormat="1" ht="14">
      <c r="A23" s="239"/>
      <c r="B23" s="251" t="s">
        <v>232</v>
      </c>
      <c r="C23" s="386">
        <f t="shared" si="0"/>
        <v>95.83</v>
      </c>
      <c r="D23" s="382">
        <f t="shared" si="1"/>
        <v>31.25</v>
      </c>
      <c r="E23" s="383">
        <v>12.61</v>
      </c>
      <c r="F23" s="383">
        <v>18.64</v>
      </c>
      <c r="G23" s="383">
        <f t="shared" si="2"/>
        <v>64.58</v>
      </c>
      <c r="H23" s="383">
        <v>44.43</v>
      </c>
      <c r="I23" s="383">
        <v>20.149999999999999</v>
      </c>
      <c r="J23" s="110"/>
      <c r="K23" s="110"/>
    </row>
    <row r="24" spans="1:11" s="105" customFormat="1" ht="14">
      <c r="A24" s="239"/>
      <c r="B24" s="251" t="s">
        <v>233</v>
      </c>
      <c r="C24" s="386">
        <f t="shared" si="0"/>
        <v>71.449999999999989</v>
      </c>
      <c r="D24" s="382">
        <f t="shared" si="1"/>
        <v>40.47</v>
      </c>
      <c r="E24" s="383">
        <v>20.8</v>
      </c>
      <c r="F24" s="383">
        <v>19.670000000000002</v>
      </c>
      <c r="G24" s="383">
        <f t="shared" si="2"/>
        <v>30.979999999999997</v>
      </c>
      <c r="H24" s="383">
        <v>18.88</v>
      </c>
      <c r="I24" s="383">
        <v>12.1</v>
      </c>
      <c r="J24" s="110"/>
      <c r="K24" s="110"/>
    </row>
    <row r="25" spans="1:11" s="105" customFormat="1" ht="14">
      <c r="A25" s="240"/>
      <c r="B25" s="274" t="s">
        <v>234</v>
      </c>
      <c r="C25" s="390">
        <f t="shared" si="0"/>
        <v>69.930000000000007</v>
      </c>
      <c r="D25" s="384">
        <f t="shared" si="1"/>
        <v>35.49</v>
      </c>
      <c r="E25" s="307">
        <v>14.62</v>
      </c>
      <c r="F25" s="307">
        <v>20.87</v>
      </c>
      <c r="G25" s="307">
        <f t="shared" si="2"/>
        <v>34.44</v>
      </c>
      <c r="H25" s="307">
        <v>27.48</v>
      </c>
      <c r="I25" s="307">
        <v>6.96</v>
      </c>
      <c r="J25" s="110"/>
      <c r="K25" s="110"/>
    </row>
    <row r="26" spans="1:11" s="105" customFormat="1" ht="14">
      <c r="A26" s="238">
        <v>2016</v>
      </c>
      <c r="B26" s="247" t="s">
        <v>231</v>
      </c>
      <c r="C26" s="386">
        <f t="shared" si="0"/>
        <v>80.180000000000007</v>
      </c>
      <c r="D26" s="382">
        <f t="shared" si="1"/>
        <v>41.22</v>
      </c>
      <c r="E26" s="383">
        <v>22.57</v>
      </c>
      <c r="F26" s="383">
        <v>18.649999999999999</v>
      </c>
      <c r="G26" s="383">
        <f t="shared" si="2"/>
        <v>38.96</v>
      </c>
      <c r="H26" s="379">
        <v>28.56</v>
      </c>
      <c r="I26" s="379">
        <v>10.4</v>
      </c>
      <c r="J26" s="110"/>
      <c r="K26" s="110"/>
    </row>
    <row r="27" spans="1:11" s="105" customFormat="1" ht="14">
      <c r="A27" s="239"/>
      <c r="B27" s="251" t="s">
        <v>232</v>
      </c>
      <c r="C27" s="386">
        <f t="shared" si="0"/>
        <v>90.38</v>
      </c>
      <c r="D27" s="382">
        <f t="shared" si="1"/>
        <v>34.56</v>
      </c>
      <c r="E27" s="383">
        <v>14.35</v>
      </c>
      <c r="F27" s="383">
        <v>20.21</v>
      </c>
      <c r="G27" s="383">
        <f t="shared" si="2"/>
        <v>55.82</v>
      </c>
      <c r="H27" s="383">
        <v>36.35</v>
      </c>
      <c r="I27" s="383">
        <v>19.47</v>
      </c>
      <c r="J27" s="110"/>
      <c r="K27" s="110"/>
    </row>
    <row r="28" spans="1:11" s="105" customFormat="1" ht="14">
      <c r="A28" s="239"/>
      <c r="B28" s="251" t="s">
        <v>233</v>
      </c>
      <c r="C28" s="386">
        <f t="shared" si="0"/>
        <v>65.960000000000008</v>
      </c>
      <c r="D28" s="382">
        <f t="shared" si="1"/>
        <v>32.89</v>
      </c>
      <c r="E28" s="383">
        <v>13.23</v>
      </c>
      <c r="F28" s="383">
        <v>19.66</v>
      </c>
      <c r="G28" s="383">
        <f t="shared" si="2"/>
        <v>33.07</v>
      </c>
      <c r="H28" s="383">
        <v>27.07</v>
      </c>
      <c r="I28" s="383">
        <v>6</v>
      </c>
      <c r="J28" s="110"/>
      <c r="K28" s="110"/>
    </row>
    <row r="29" spans="1:11" s="105" customFormat="1" ht="14">
      <c r="A29" s="240"/>
      <c r="B29" s="252" t="s">
        <v>234</v>
      </c>
      <c r="C29" s="390">
        <f t="shared" si="0"/>
        <v>64.56</v>
      </c>
      <c r="D29" s="384">
        <f t="shared" si="1"/>
        <v>39.4</v>
      </c>
      <c r="E29" s="307">
        <v>17.07</v>
      </c>
      <c r="F29" s="307">
        <v>22.33</v>
      </c>
      <c r="G29" s="307">
        <f t="shared" si="2"/>
        <v>25.16</v>
      </c>
      <c r="H29" s="307">
        <v>22.86</v>
      </c>
      <c r="I29" s="307">
        <v>2.2999999999999998</v>
      </c>
      <c r="J29" s="110"/>
      <c r="K29" s="110"/>
    </row>
    <row r="30" spans="1:11" s="105" customFormat="1" ht="14">
      <c r="A30" s="238">
        <v>2017</v>
      </c>
      <c r="B30" s="247" t="s">
        <v>231</v>
      </c>
      <c r="C30" s="386">
        <f t="shared" si="0"/>
        <v>76.899999999999991</v>
      </c>
      <c r="D30" s="382">
        <f t="shared" si="1"/>
        <v>38.019999999999996</v>
      </c>
      <c r="E30" s="386">
        <v>18.77</v>
      </c>
      <c r="F30" s="386">
        <v>19.25</v>
      </c>
      <c r="G30" s="386">
        <f t="shared" si="2"/>
        <v>38.879999999999995</v>
      </c>
      <c r="H30" s="388">
        <v>28.68</v>
      </c>
      <c r="I30" s="388">
        <v>10.199999999999999</v>
      </c>
      <c r="J30" s="110"/>
      <c r="K30" s="110"/>
    </row>
    <row r="31" spans="1:11" s="105" customFormat="1" ht="14">
      <c r="A31" s="239"/>
      <c r="B31" s="251" t="s">
        <v>232</v>
      </c>
      <c r="C31" s="386">
        <f>D31+G31</f>
        <v>85.96</v>
      </c>
      <c r="D31" s="382">
        <f>E31+F31</f>
        <v>38.61</v>
      </c>
      <c r="E31" s="386">
        <v>18</v>
      </c>
      <c r="F31" s="386">
        <v>20.61</v>
      </c>
      <c r="G31" s="386">
        <f>H31+I31</f>
        <v>47.349999999999994</v>
      </c>
      <c r="H31" s="386">
        <v>37.19</v>
      </c>
      <c r="I31" s="386">
        <v>10.16</v>
      </c>
      <c r="J31" s="110"/>
      <c r="K31" s="110"/>
    </row>
    <row r="32" spans="1:11" s="105" customFormat="1" ht="14">
      <c r="A32" s="239"/>
      <c r="B32" s="251" t="s">
        <v>233</v>
      </c>
      <c r="C32" s="386">
        <f t="shared" si="0"/>
        <v>68.42</v>
      </c>
      <c r="D32" s="382">
        <f t="shared" si="1"/>
        <v>30.93</v>
      </c>
      <c r="E32" s="386">
        <v>13.37</v>
      </c>
      <c r="F32" s="386">
        <v>17.559999999999999</v>
      </c>
      <c r="G32" s="386">
        <f t="shared" si="2"/>
        <v>37.49</v>
      </c>
      <c r="H32" s="386">
        <v>31.17</v>
      </c>
      <c r="I32" s="386">
        <v>6.32</v>
      </c>
      <c r="J32" s="110"/>
      <c r="K32" s="110"/>
    </row>
    <row r="33" spans="1:11" s="105" customFormat="1" ht="14">
      <c r="A33" s="240"/>
      <c r="B33" s="252" t="s">
        <v>234</v>
      </c>
      <c r="C33" s="390">
        <f t="shared" si="0"/>
        <v>64.78</v>
      </c>
      <c r="D33" s="384">
        <f t="shared" si="1"/>
        <v>35.61</v>
      </c>
      <c r="E33" s="390">
        <v>14.9</v>
      </c>
      <c r="F33" s="390">
        <v>20.71</v>
      </c>
      <c r="G33" s="390">
        <f t="shared" si="2"/>
        <v>29.17</v>
      </c>
      <c r="H33" s="390">
        <v>23.12</v>
      </c>
      <c r="I33" s="390">
        <v>6.05</v>
      </c>
      <c r="J33" s="110"/>
      <c r="K33" s="110"/>
    </row>
    <row r="34" spans="1:11" s="105" customFormat="1" ht="14">
      <c r="A34" s="238">
        <v>2018</v>
      </c>
      <c r="B34" s="247" t="s">
        <v>231</v>
      </c>
      <c r="C34" s="388">
        <f>D34+G34</f>
        <v>77.25</v>
      </c>
      <c r="D34" s="378">
        <f>E34+F34</f>
        <v>44.6</v>
      </c>
      <c r="E34" s="388">
        <v>26.35</v>
      </c>
      <c r="F34" s="388">
        <v>18.25</v>
      </c>
      <c r="G34" s="388">
        <f>H34+I34</f>
        <v>32.65</v>
      </c>
      <c r="H34" s="388">
        <v>25.03</v>
      </c>
      <c r="I34" s="388">
        <v>7.62</v>
      </c>
      <c r="J34" s="110"/>
      <c r="K34" s="110"/>
    </row>
    <row r="35" spans="1:11" s="105" customFormat="1" ht="14">
      <c r="A35" s="239"/>
      <c r="B35" s="273" t="s">
        <v>232</v>
      </c>
      <c r="C35" s="386">
        <f t="shared" si="0"/>
        <v>71.73</v>
      </c>
      <c r="D35" s="386">
        <f t="shared" si="1"/>
        <v>34.900000000000006</v>
      </c>
      <c r="E35" s="386">
        <v>15.21</v>
      </c>
      <c r="F35" s="386">
        <v>19.690000000000001</v>
      </c>
      <c r="G35" s="386">
        <f t="shared" si="2"/>
        <v>36.83</v>
      </c>
      <c r="H35" s="386">
        <v>30.95</v>
      </c>
      <c r="I35" s="386">
        <v>5.88</v>
      </c>
      <c r="J35" s="110"/>
      <c r="K35" s="110"/>
    </row>
    <row r="36" spans="1:11" s="105" customFormat="1" ht="14">
      <c r="A36" s="239"/>
      <c r="B36" s="273" t="s">
        <v>233</v>
      </c>
      <c r="C36" s="386">
        <f t="shared" si="0"/>
        <v>75.63</v>
      </c>
      <c r="D36" s="386">
        <f t="shared" si="1"/>
        <v>38.340000000000003</v>
      </c>
      <c r="E36" s="386">
        <v>18.32</v>
      </c>
      <c r="F36" s="386">
        <v>20.02</v>
      </c>
      <c r="G36" s="386">
        <f t="shared" si="2"/>
        <v>37.29</v>
      </c>
      <c r="H36" s="386">
        <v>31.59</v>
      </c>
      <c r="I36" s="394">
        <v>5.7</v>
      </c>
      <c r="J36" s="110"/>
      <c r="K36" s="110"/>
    </row>
    <row r="37" spans="1:11" s="105" customFormat="1" ht="14">
      <c r="A37" s="240"/>
      <c r="B37" s="274" t="s">
        <v>234</v>
      </c>
      <c r="C37" s="390">
        <f t="shared" si="0"/>
        <v>70.12</v>
      </c>
      <c r="D37" s="390">
        <f t="shared" si="1"/>
        <v>35.099999999999994</v>
      </c>
      <c r="E37" s="390">
        <v>11.86</v>
      </c>
      <c r="F37" s="390">
        <v>23.24</v>
      </c>
      <c r="G37" s="390">
        <f t="shared" si="2"/>
        <v>35.020000000000003</v>
      </c>
      <c r="H37" s="390">
        <v>29.32</v>
      </c>
      <c r="I37" s="396">
        <v>5.7</v>
      </c>
      <c r="J37" s="110"/>
      <c r="K37" s="110"/>
    </row>
    <row r="38" spans="1:11" s="105" customFormat="1" ht="14">
      <c r="A38" s="238">
        <v>2019</v>
      </c>
      <c r="B38" s="247" t="s">
        <v>231</v>
      </c>
      <c r="C38" s="388">
        <f t="shared" si="0"/>
        <v>68.41</v>
      </c>
      <c r="D38" s="378">
        <f t="shared" si="1"/>
        <v>38.44</v>
      </c>
      <c r="E38" s="388">
        <v>18.399999999999999</v>
      </c>
      <c r="F38" s="388">
        <v>20.04</v>
      </c>
      <c r="G38" s="388">
        <f t="shared" si="2"/>
        <v>29.97</v>
      </c>
      <c r="H38" s="388">
        <v>22.96</v>
      </c>
      <c r="I38" s="388">
        <v>7.01</v>
      </c>
      <c r="J38" s="110"/>
      <c r="K38" s="110"/>
    </row>
    <row r="39" spans="1:11" s="105" customFormat="1" ht="14">
      <c r="A39" s="239"/>
      <c r="B39" s="273" t="s">
        <v>232</v>
      </c>
      <c r="C39" s="386">
        <f t="shared" si="0"/>
        <v>65.78</v>
      </c>
      <c r="D39" s="386">
        <f t="shared" si="1"/>
        <v>37.450000000000003</v>
      </c>
      <c r="E39" s="386">
        <v>16.59</v>
      </c>
      <c r="F39" s="386">
        <v>20.86</v>
      </c>
      <c r="G39" s="386">
        <f t="shared" si="2"/>
        <v>28.330000000000002</v>
      </c>
      <c r="H39" s="386">
        <v>21.67</v>
      </c>
      <c r="I39" s="386">
        <v>6.66</v>
      </c>
      <c r="J39" s="110"/>
      <c r="K39" s="110"/>
    </row>
    <row r="40" spans="1:11" s="105" customFormat="1" ht="14">
      <c r="A40" s="239"/>
      <c r="B40" s="273" t="s">
        <v>233</v>
      </c>
      <c r="C40" s="386">
        <f t="shared" si="0"/>
        <v>87.78</v>
      </c>
      <c r="D40" s="386">
        <f t="shared" si="1"/>
        <v>49.95</v>
      </c>
      <c r="E40" s="386">
        <v>29.13</v>
      </c>
      <c r="F40" s="386">
        <v>20.82</v>
      </c>
      <c r="G40" s="386">
        <f t="shared" si="2"/>
        <v>37.83</v>
      </c>
      <c r="H40" s="386">
        <v>30.86</v>
      </c>
      <c r="I40" s="386">
        <v>6.97</v>
      </c>
      <c r="J40" s="110"/>
      <c r="K40" s="110"/>
    </row>
    <row r="41" spans="1:11" s="105" customFormat="1" ht="14">
      <c r="A41" s="240"/>
      <c r="B41" s="274" t="s">
        <v>234</v>
      </c>
      <c r="C41" s="390">
        <f t="shared" si="0"/>
        <v>69.22</v>
      </c>
      <c r="D41" s="390">
        <f t="shared" si="1"/>
        <v>39.22</v>
      </c>
      <c r="E41" s="390">
        <v>17.510000000000002</v>
      </c>
      <c r="F41" s="390">
        <v>21.71</v>
      </c>
      <c r="G41" s="390">
        <f t="shared" si="2"/>
        <v>30</v>
      </c>
      <c r="H41" s="390">
        <v>24.01</v>
      </c>
      <c r="I41" s="390">
        <v>5.99</v>
      </c>
      <c r="J41" s="110"/>
      <c r="K41" s="110"/>
    </row>
    <row r="42" spans="1:11" s="105" customFormat="1" ht="14">
      <c r="A42" s="238">
        <v>2020</v>
      </c>
      <c r="B42" s="272" t="s">
        <v>231</v>
      </c>
      <c r="C42" s="388">
        <f t="shared" si="0"/>
        <v>79.300000000000011</v>
      </c>
      <c r="D42" s="388">
        <f t="shared" si="1"/>
        <v>42.46</v>
      </c>
      <c r="E42" s="388">
        <v>21.73</v>
      </c>
      <c r="F42" s="388">
        <v>20.73</v>
      </c>
      <c r="G42" s="388">
        <f t="shared" si="2"/>
        <v>36.840000000000003</v>
      </c>
      <c r="H42" s="388">
        <v>29.27</v>
      </c>
      <c r="I42" s="388">
        <v>7.57</v>
      </c>
      <c r="J42" s="110"/>
      <c r="K42" s="110"/>
    </row>
    <row r="43" spans="1:11" s="105" customFormat="1" ht="14">
      <c r="A43" s="239"/>
      <c r="B43" s="273" t="s">
        <v>232</v>
      </c>
      <c r="C43" s="386">
        <f t="shared" ref="C43:C55" si="3">D43+G43</f>
        <v>65.509999999999991</v>
      </c>
      <c r="D43" s="386">
        <f t="shared" ref="D43:D46" si="4">E43+F43</f>
        <v>35.44</v>
      </c>
      <c r="E43" s="386">
        <v>14.63</v>
      </c>
      <c r="F43" s="386">
        <v>20.81</v>
      </c>
      <c r="G43" s="386">
        <f t="shared" si="2"/>
        <v>30.07</v>
      </c>
      <c r="H43" s="386">
        <v>24.55</v>
      </c>
      <c r="I43" s="386">
        <v>5.52</v>
      </c>
      <c r="J43" s="110"/>
      <c r="K43" s="110"/>
    </row>
    <row r="44" spans="1:11" s="105" customFormat="1" ht="14">
      <c r="A44" s="239"/>
      <c r="B44" s="273" t="s">
        <v>233</v>
      </c>
      <c r="C44" s="386">
        <f t="shared" si="3"/>
        <v>74.94</v>
      </c>
      <c r="D44" s="386">
        <f t="shared" si="4"/>
        <v>44.21</v>
      </c>
      <c r="E44" s="386">
        <v>21.67</v>
      </c>
      <c r="F44" s="386">
        <v>22.54</v>
      </c>
      <c r="G44" s="386">
        <f t="shared" si="2"/>
        <v>30.73</v>
      </c>
      <c r="H44" s="386">
        <v>23.19</v>
      </c>
      <c r="I44" s="386">
        <v>7.54</v>
      </c>
      <c r="J44" s="110"/>
      <c r="K44" s="110"/>
    </row>
    <row r="45" spans="1:11" s="105" customFormat="1" ht="14">
      <c r="A45" s="240"/>
      <c r="B45" s="252" t="s">
        <v>234</v>
      </c>
      <c r="C45" s="390">
        <f t="shared" si="3"/>
        <v>80.460000000000008</v>
      </c>
      <c r="D45" s="390">
        <f t="shared" si="4"/>
        <v>40.69</v>
      </c>
      <c r="E45" s="390">
        <v>16.07</v>
      </c>
      <c r="F45" s="390">
        <v>24.62</v>
      </c>
      <c r="G45" s="390">
        <f t="shared" si="2"/>
        <v>39.770000000000003</v>
      </c>
      <c r="H45" s="390">
        <v>32.85</v>
      </c>
      <c r="I45" s="390">
        <v>6.92</v>
      </c>
      <c r="J45" s="110"/>
      <c r="K45" s="110"/>
    </row>
    <row r="46" spans="1:11" s="105" customFormat="1" ht="14">
      <c r="A46" s="238">
        <v>2021</v>
      </c>
      <c r="B46" s="272" t="s">
        <v>231</v>
      </c>
      <c r="C46" s="388">
        <f t="shared" si="3"/>
        <v>79.47</v>
      </c>
      <c r="D46" s="388">
        <f t="shared" si="4"/>
        <v>40.290000000000006</v>
      </c>
      <c r="E46" s="388">
        <v>16.350000000000001</v>
      </c>
      <c r="F46" s="388">
        <v>23.94</v>
      </c>
      <c r="G46" s="388">
        <f t="shared" si="2"/>
        <v>39.18</v>
      </c>
      <c r="H46" s="388">
        <v>31.7</v>
      </c>
      <c r="I46" s="388">
        <v>7.48</v>
      </c>
      <c r="J46" s="110"/>
      <c r="K46" s="110"/>
    </row>
    <row r="47" spans="1:11" s="105" customFormat="1" ht="14">
      <c r="A47" s="239"/>
      <c r="B47" s="273" t="s">
        <v>232</v>
      </c>
      <c r="C47" s="386">
        <f t="shared" si="3"/>
        <v>73.67</v>
      </c>
      <c r="D47" s="386">
        <f t="shared" ref="D47:D56" si="5">E47+F47</f>
        <v>38.78</v>
      </c>
      <c r="E47" s="386">
        <v>16.57</v>
      </c>
      <c r="F47" s="386">
        <v>22.21</v>
      </c>
      <c r="G47" s="386">
        <f t="shared" si="2"/>
        <v>34.89</v>
      </c>
      <c r="H47" s="386">
        <v>28.94</v>
      </c>
      <c r="I47" s="386">
        <v>5.95</v>
      </c>
      <c r="J47" s="110"/>
      <c r="K47" s="110"/>
    </row>
    <row r="48" spans="1:11" s="105" customFormat="1" ht="14">
      <c r="A48" s="239"/>
      <c r="B48" s="273" t="s">
        <v>233</v>
      </c>
      <c r="C48" s="386">
        <f t="shared" si="3"/>
        <v>73.509999999999991</v>
      </c>
      <c r="D48" s="386">
        <f t="shared" si="5"/>
        <v>39.18</v>
      </c>
      <c r="E48" s="386">
        <v>15.55</v>
      </c>
      <c r="F48" s="386">
        <v>23.63</v>
      </c>
      <c r="G48" s="386">
        <f t="shared" si="2"/>
        <v>34.33</v>
      </c>
      <c r="H48" s="386">
        <v>28.56</v>
      </c>
      <c r="I48" s="386">
        <v>5.77</v>
      </c>
      <c r="J48" s="110"/>
      <c r="K48" s="110"/>
    </row>
    <row r="49" spans="1:13" s="105" customFormat="1" ht="14">
      <c r="A49" s="240"/>
      <c r="B49" s="274" t="s">
        <v>234</v>
      </c>
      <c r="C49" s="390">
        <f t="shared" si="3"/>
        <v>82.98</v>
      </c>
      <c r="D49" s="390">
        <f t="shared" si="5"/>
        <v>46.93</v>
      </c>
      <c r="E49" s="390">
        <v>20.07</v>
      </c>
      <c r="F49" s="390">
        <v>26.86</v>
      </c>
      <c r="G49" s="390">
        <f t="shared" si="2"/>
        <v>36.050000000000004</v>
      </c>
      <c r="H49" s="390">
        <v>29.67</v>
      </c>
      <c r="I49" s="390">
        <v>6.38</v>
      </c>
      <c r="J49" s="110"/>
      <c r="K49" s="110"/>
    </row>
    <row r="50" spans="1:13" s="105" customFormat="1" ht="14">
      <c r="A50" s="238">
        <v>2022</v>
      </c>
      <c r="B50" s="272" t="s">
        <v>231</v>
      </c>
      <c r="C50" s="388">
        <f t="shared" si="3"/>
        <v>81.180000000000007</v>
      </c>
      <c r="D50" s="388">
        <f t="shared" si="5"/>
        <v>44.81</v>
      </c>
      <c r="E50" s="388">
        <v>18.18</v>
      </c>
      <c r="F50" s="388">
        <v>26.63</v>
      </c>
      <c r="G50" s="388">
        <f t="shared" si="2"/>
        <v>36.370000000000005</v>
      </c>
      <c r="H50" s="388">
        <v>30.37</v>
      </c>
      <c r="I50" s="388">
        <v>6</v>
      </c>
      <c r="J50" s="110"/>
      <c r="K50" s="110"/>
    </row>
    <row r="51" spans="1:13" s="105" customFormat="1" ht="14">
      <c r="A51" s="239"/>
      <c r="B51" s="273" t="s">
        <v>232</v>
      </c>
      <c r="C51" s="386">
        <f t="shared" si="3"/>
        <v>80.039999999999992</v>
      </c>
      <c r="D51" s="386">
        <f t="shared" si="5"/>
        <v>45.46</v>
      </c>
      <c r="E51" s="386">
        <v>17.64</v>
      </c>
      <c r="F51" s="386">
        <v>27.82</v>
      </c>
      <c r="G51" s="386">
        <f t="shared" si="2"/>
        <v>34.58</v>
      </c>
      <c r="H51" s="386">
        <v>27.88</v>
      </c>
      <c r="I51" s="386">
        <v>6.7</v>
      </c>
      <c r="J51" s="110"/>
      <c r="K51" s="110"/>
    </row>
    <row r="52" spans="1:13" s="105" customFormat="1" ht="14">
      <c r="A52" s="239"/>
      <c r="B52" s="273" t="s">
        <v>233</v>
      </c>
      <c r="C52" s="386">
        <f t="shared" si="3"/>
        <v>79.710000000000008</v>
      </c>
      <c r="D52" s="386">
        <f t="shared" si="5"/>
        <v>40.790000000000006</v>
      </c>
      <c r="E52" s="386">
        <v>16.28</v>
      </c>
      <c r="F52" s="386">
        <v>24.51</v>
      </c>
      <c r="G52" s="386">
        <f t="shared" si="2"/>
        <v>38.92</v>
      </c>
      <c r="H52" s="386">
        <v>31.4</v>
      </c>
      <c r="I52" s="386">
        <v>7.52</v>
      </c>
      <c r="J52" s="110"/>
      <c r="K52" s="110"/>
    </row>
    <row r="53" spans="1:13" s="105" customFormat="1" ht="14">
      <c r="A53" s="240"/>
      <c r="B53" s="274" t="s">
        <v>234</v>
      </c>
      <c r="C53" s="390">
        <f t="shared" si="3"/>
        <v>88.73</v>
      </c>
      <c r="D53" s="390">
        <f t="shared" si="5"/>
        <v>45.230000000000004</v>
      </c>
      <c r="E53" s="390">
        <v>16.260000000000002</v>
      </c>
      <c r="F53" s="390">
        <v>28.97</v>
      </c>
      <c r="G53" s="390">
        <f t="shared" si="2"/>
        <v>43.5</v>
      </c>
      <c r="H53" s="390">
        <v>37.869999999999997</v>
      </c>
      <c r="I53" s="390">
        <v>5.63</v>
      </c>
      <c r="J53" s="110"/>
      <c r="K53" s="110"/>
    </row>
    <row r="54" spans="1:13" s="105" customFormat="1" ht="14">
      <c r="A54" s="238">
        <v>2023</v>
      </c>
      <c r="B54" s="272" t="s">
        <v>231</v>
      </c>
      <c r="C54" s="388">
        <f t="shared" si="3"/>
        <v>84.570000000000007</v>
      </c>
      <c r="D54" s="388">
        <f t="shared" si="5"/>
        <v>46.260000000000005</v>
      </c>
      <c r="E54" s="388">
        <v>20.82</v>
      </c>
      <c r="F54" s="388">
        <v>25.44</v>
      </c>
      <c r="G54" s="388">
        <f t="shared" si="2"/>
        <v>38.31</v>
      </c>
      <c r="H54" s="388">
        <v>31.56</v>
      </c>
      <c r="I54" s="388">
        <v>6.75</v>
      </c>
      <c r="J54" s="110"/>
      <c r="K54" s="110"/>
      <c r="L54" s="104"/>
      <c r="M54" s="104"/>
    </row>
    <row r="55" spans="1:13" s="105" customFormat="1" ht="14">
      <c r="A55" s="239"/>
      <c r="B55" s="273" t="s">
        <v>232</v>
      </c>
      <c r="C55" s="386">
        <f t="shared" si="3"/>
        <v>83.867000000000004</v>
      </c>
      <c r="D55" s="386">
        <f t="shared" si="5"/>
        <v>47.641000000000005</v>
      </c>
      <c r="E55" s="386">
        <v>22.274000000000001</v>
      </c>
      <c r="F55" s="386">
        <v>25.367000000000001</v>
      </c>
      <c r="G55" s="386">
        <f t="shared" si="2"/>
        <v>36.225999999999999</v>
      </c>
      <c r="H55" s="386">
        <v>29.103000000000002</v>
      </c>
      <c r="I55" s="386">
        <v>7.1230000000000002</v>
      </c>
      <c r="J55" s="110"/>
      <c r="K55" s="110"/>
      <c r="L55" s="104"/>
      <c r="M55" s="104"/>
    </row>
    <row r="56" spans="1:13" s="105" customFormat="1" ht="14">
      <c r="A56" s="239"/>
      <c r="B56" s="273" t="s">
        <v>233</v>
      </c>
      <c r="C56" s="386">
        <f t="shared" ref="C56" si="6">D56+G56</f>
        <v>77.84</v>
      </c>
      <c r="D56" s="386">
        <f t="shared" si="5"/>
        <v>41.51</v>
      </c>
      <c r="E56" s="386">
        <v>14.87</v>
      </c>
      <c r="F56" s="386">
        <v>26.64</v>
      </c>
      <c r="G56" s="386">
        <f t="shared" si="2"/>
        <v>36.33</v>
      </c>
      <c r="H56" s="386">
        <v>27.39</v>
      </c>
      <c r="I56" s="386">
        <v>8.94</v>
      </c>
      <c r="J56" s="110"/>
      <c r="K56" s="110"/>
      <c r="L56" s="104"/>
      <c r="M56" s="104"/>
    </row>
    <row r="57" spans="1:13" s="105" customFormat="1" ht="14">
      <c r="A57" s="240"/>
      <c r="B57" s="274" t="s">
        <v>234</v>
      </c>
      <c r="C57" s="390">
        <f t="shared" ref="C57" si="7">D57+G57</f>
        <v>93.19</v>
      </c>
      <c r="D57" s="390">
        <f t="shared" ref="D57" si="8">E57+F57</f>
        <v>45.77</v>
      </c>
      <c r="E57" s="390">
        <v>16.850000000000001</v>
      </c>
      <c r="F57" s="390">
        <v>28.92</v>
      </c>
      <c r="G57" s="390">
        <f t="shared" si="2"/>
        <v>47.42</v>
      </c>
      <c r="H57" s="390">
        <v>39.020000000000003</v>
      </c>
      <c r="I57" s="390">
        <v>8.4</v>
      </c>
      <c r="J57" s="110"/>
      <c r="K57" s="110"/>
      <c r="L57" s="104"/>
      <c r="M57" s="104"/>
    </row>
    <row r="58" spans="1:13" s="105" customFormat="1" ht="14">
      <c r="A58" s="238">
        <v>2024</v>
      </c>
      <c r="B58" s="272" t="s">
        <v>231</v>
      </c>
      <c r="C58" s="388">
        <f t="shared" ref="C58:C59" si="9">D58+G58</f>
        <v>91.88</v>
      </c>
      <c r="D58" s="388">
        <f t="shared" ref="D58:D59" si="10">E58+F58</f>
        <v>50.92</v>
      </c>
      <c r="E58" s="388">
        <v>25.23</v>
      </c>
      <c r="F58" s="388">
        <v>25.69</v>
      </c>
      <c r="G58" s="388">
        <f t="shared" si="2"/>
        <v>40.96</v>
      </c>
      <c r="H58" s="388">
        <v>35.020000000000003</v>
      </c>
      <c r="I58" s="388">
        <v>5.94</v>
      </c>
      <c r="J58" s="110"/>
      <c r="K58" s="110"/>
      <c r="L58" s="104"/>
      <c r="M58" s="104"/>
    </row>
    <row r="59" spans="1:13" s="105" customFormat="1" ht="14">
      <c r="A59" s="239"/>
      <c r="B59" s="273" t="s">
        <v>232</v>
      </c>
      <c r="C59" s="386">
        <f t="shared" si="9"/>
        <v>79.930000000000007</v>
      </c>
      <c r="D59" s="386">
        <f t="shared" si="10"/>
        <v>40.65</v>
      </c>
      <c r="E59" s="403">
        <v>15.849999999999998</v>
      </c>
      <c r="F59" s="386">
        <v>24.8</v>
      </c>
      <c r="G59" s="386">
        <f t="shared" si="2"/>
        <v>39.28</v>
      </c>
      <c r="H59" s="386">
        <v>32.15</v>
      </c>
      <c r="I59" s="386">
        <v>7.13</v>
      </c>
      <c r="J59" s="110"/>
      <c r="K59" s="110"/>
      <c r="L59" s="104"/>
      <c r="M59" s="104"/>
    </row>
    <row r="60" spans="1:13" s="105" customFormat="1" ht="14">
      <c r="A60" s="239"/>
      <c r="B60" s="273" t="s">
        <v>233</v>
      </c>
      <c r="C60" s="386">
        <f t="shared" ref="C60" si="11">D60+G60</f>
        <v>79.029999999999987</v>
      </c>
      <c r="D60" s="386">
        <f t="shared" ref="D60" si="12">E60+F60</f>
        <v>39.89</v>
      </c>
      <c r="E60" s="386">
        <v>14.129999999999999</v>
      </c>
      <c r="F60" s="386">
        <v>25.76</v>
      </c>
      <c r="G60" s="386">
        <f t="shared" si="2"/>
        <v>39.139999999999986</v>
      </c>
      <c r="H60" s="386">
        <v>29.399999999999984</v>
      </c>
      <c r="I60" s="386">
        <v>9.7399999999999984</v>
      </c>
      <c r="J60" s="110"/>
      <c r="K60" s="110"/>
      <c r="L60" s="104"/>
      <c r="M60" s="104"/>
    </row>
    <row r="61" spans="1:13" s="105" customFormat="1" ht="14">
      <c r="A61" s="240"/>
      <c r="B61" s="274" t="s">
        <v>234</v>
      </c>
      <c r="C61" s="390">
        <f t="shared" ref="C61" si="13">D61+G61</f>
        <v>95.570000000000022</v>
      </c>
      <c r="D61" s="390">
        <f t="shared" ref="D61" si="14">E61+F61</f>
        <v>49.38000000000001</v>
      </c>
      <c r="E61" s="390">
        <v>20.350000000000012</v>
      </c>
      <c r="F61" s="390">
        <v>29.029999999999998</v>
      </c>
      <c r="G61" s="390">
        <f t="shared" si="2"/>
        <v>46.190000000000012</v>
      </c>
      <c r="H61" s="390">
        <v>40.370000000000012</v>
      </c>
      <c r="I61" s="390">
        <v>5.8200000000000012</v>
      </c>
      <c r="J61" s="110"/>
      <c r="K61" s="110"/>
      <c r="L61" s="104"/>
      <c r="M61" s="104"/>
    </row>
    <row r="62" spans="1:13" s="105" customFormat="1" ht="14">
      <c r="A62" s="238">
        <v>2025</v>
      </c>
      <c r="B62" s="272" t="s">
        <v>231</v>
      </c>
      <c r="C62" s="388">
        <f t="shared" ref="C62" si="15">D62+G62</f>
        <v>80.363</v>
      </c>
      <c r="D62" s="388">
        <f t="shared" ref="D62" si="16">E62+F62</f>
        <v>41.094000000000001</v>
      </c>
      <c r="E62" s="388">
        <v>24.07</v>
      </c>
      <c r="F62" s="388">
        <v>17.024000000000001</v>
      </c>
      <c r="G62" s="388">
        <f t="shared" si="2"/>
        <v>39.269000000000005</v>
      </c>
      <c r="H62" s="388">
        <v>30.292000000000002</v>
      </c>
      <c r="I62" s="388">
        <v>8.9770000000000003</v>
      </c>
      <c r="J62" s="110"/>
      <c r="K62" s="110"/>
      <c r="L62" s="104"/>
      <c r="M62" s="104"/>
    </row>
    <row r="63" spans="1:13" s="105" customFormat="1" ht="14">
      <c r="A63" s="239"/>
      <c r="B63" s="273" t="s">
        <v>232</v>
      </c>
      <c r="C63" s="386">
        <f t="shared" ref="C63" si="17">D63+G63</f>
        <v>91.364999999999995</v>
      </c>
      <c r="D63" s="386">
        <f t="shared" ref="D63" si="18">E63+F63</f>
        <v>60.844999999999999</v>
      </c>
      <c r="E63" s="386">
        <v>16.698999999999998</v>
      </c>
      <c r="F63" s="386">
        <v>44.146000000000001</v>
      </c>
      <c r="G63" s="386">
        <f t="shared" si="2"/>
        <v>30.52</v>
      </c>
      <c r="H63" s="386">
        <v>29.39</v>
      </c>
      <c r="I63" s="386">
        <v>1.1299999999999999</v>
      </c>
      <c r="J63" s="110"/>
      <c r="K63" s="110"/>
      <c r="L63" s="104"/>
      <c r="M63" s="104"/>
    </row>
    <row r="64" spans="1:13" s="105" customFormat="1" ht="14">
      <c r="A64" s="239"/>
      <c r="B64" s="273" t="s">
        <v>233</v>
      </c>
      <c r="C64" s="386">
        <f t="shared" ref="C64" si="19">D64+G64</f>
        <v>90.525999999999996</v>
      </c>
      <c r="D64" s="386">
        <f t="shared" ref="D64" si="20">E64+F64</f>
        <v>44.424999999999997</v>
      </c>
      <c r="E64" s="386">
        <v>16.629000000000001</v>
      </c>
      <c r="F64" s="386">
        <v>27.795999999999999</v>
      </c>
      <c r="G64" s="386">
        <f t="shared" si="2"/>
        <v>46.100999999999999</v>
      </c>
      <c r="H64" s="386">
        <v>38.747999999999998</v>
      </c>
      <c r="I64" s="386">
        <v>7.3529999999999998</v>
      </c>
      <c r="J64" s="110"/>
      <c r="K64" s="110"/>
      <c r="L64" s="104"/>
      <c r="M64" s="104"/>
    </row>
    <row r="65" spans="1:13" s="105" customFormat="1" ht="14">
      <c r="A65" s="240"/>
      <c r="B65" s="274" t="s">
        <v>234</v>
      </c>
      <c r="C65" s="390">
        <f t="shared" ref="C65" si="21">D65+G65</f>
        <v>98.662999999999997</v>
      </c>
      <c r="D65" s="390">
        <f t="shared" ref="D65" si="22">E65+F65</f>
        <v>48.247</v>
      </c>
      <c r="E65" s="390">
        <v>17.227</v>
      </c>
      <c r="F65" s="390">
        <v>31.02</v>
      </c>
      <c r="G65" s="390">
        <f t="shared" si="2"/>
        <v>50.415999999999997</v>
      </c>
      <c r="H65" s="390">
        <v>39.777000000000001</v>
      </c>
      <c r="I65" s="390">
        <v>10.638999999999999</v>
      </c>
      <c r="J65" s="110"/>
      <c r="K65" s="110"/>
      <c r="L65" s="104"/>
      <c r="M65" s="104"/>
    </row>
    <row r="66" spans="1:13" s="105" customFormat="1" ht="14">
      <c r="A66" s="675">
        <v>2026</v>
      </c>
      <c r="B66" s="676" t="s">
        <v>231</v>
      </c>
      <c r="C66" s="682">
        <f t="shared" ref="C66" si="23">D66+G66</f>
        <v>91.25</v>
      </c>
      <c r="D66" s="682">
        <f t="shared" ref="D66" si="24">E66+F66</f>
        <v>53.748000000000005</v>
      </c>
      <c r="E66" s="682">
        <v>27.771000000000001</v>
      </c>
      <c r="F66" s="682">
        <v>25.977</v>
      </c>
      <c r="G66" s="682">
        <f t="shared" si="2"/>
        <v>37.501999999999995</v>
      </c>
      <c r="H66" s="682">
        <v>32.006999999999998</v>
      </c>
      <c r="I66" s="682">
        <v>5.4950000000000001</v>
      </c>
      <c r="J66" s="110"/>
      <c r="K66" s="110"/>
      <c r="L66" s="104"/>
      <c r="M66" s="104"/>
    </row>
    <row r="67" spans="1:13">
      <c r="C67" s="74"/>
      <c r="D67" s="74"/>
      <c r="E67" s="74"/>
      <c r="F67" s="74"/>
      <c r="G67" s="74"/>
      <c r="H67" s="74"/>
      <c r="I67" s="74"/>
    </row>
    <row r="68" spans="1:13">
      <c r="A68" s="171" t="s">
        <v>195</v>
      </c>
    </row>
    <row r="69" spans="1:13">
      <c r="A69" s="161"/>
    </row>
    <row r="70" spans="1:13">
      <c r="A70" s="161" t="s">
        <v>119</v>
      </c>
    </row>
    <row r="71" spans="1:13">
      <c r="A71" s="161" t="s">
        <v>120</v>
      </c>
    </row>
    <row r="72" spans="1:13">
      <c r="A72" s="168" t="s">
        <v>168</v>
      </c>
    </row>
  </sheetData>
  <sheetProtection sheet="1" formatCells="0" insertColumns="0" insertRows="0" deleteColumns="0" deleteRows="0"/>
  <mergeCells count="7">
    <mergeCell ref="A1:F1"/>
    <mergeCell ref="A2:I2"/>
    <mergeCell ref="A3:B5"/>
    <mergeCell ref="C3:I3"/>
    <mergeCell ref="C4:C5"/>
    <mergeCell ref="D4:F4"/>
    <mergeCell ref="G4:I4"/>
  </mergeCells>
  <printOptions horizontalCentered="1"/>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73"/>
  <sheetViews>
    <sheetView zoomScaleNormal="100" workbookViewId="0">
      <pane ySplit="5" topLeftCell="A53" activePane="bottomLeft" state="frozen"/>
      <selection activeCell="G153" sqref="G153"/>
      <selection pane="bottomLeft" activeCell="C66" sqref="C66"/>
    </sheetView>
  </sheetViews>
  <sheetFormatPr defaultColWidth="9.1796875" defaultRowHeight="13"/>
  <cols>
    <col min="1" max="2" width="6.81640625" style="65" customWidth="1"/>
    <col min="3" max="9" width="13.81640625" style="65" customWidth="1"/>
    <col min="10" max="16384" width="9.1796875" style="65"/>
  </cols>
  <sheetData>
    <row r="1" spans="1:11" s="70" customFormat="1" ht="15.5">
      <c r="A1" s="709" t="s">
        <v>280</v>
      </c>
      <c r="B1" s="709"/>
      <c r="C1" s="709"/>
      <c r="D1" s="709"/>
      <c r="E1" s="709"/>
      <c r="F1" s="709"/>
      <c r="G1" s="65"/>
      <c r="H1" s="65"/>
      <c r="I1" s="65"/>
    </row>
    <row r="2" spans="1:11" ht="14">
      <c r="A2" s="760" t="s">
        <v>97</v>
      </c>
      <c r="B2" s="760"/>
      <c r="C2" s="760"/>
      <c r="D2" s="760"/>
      <c r="E2" s="760"/>
      <c r="F2" s="760"/>
      <c r="G2" s="760"/>
      <c r="H2" s="760"/>
      <c r="I2" s="760"/>
    </row>
    <row r="3" spans="1:11" s="105" customFormat="1" ht="22" customHeight="1">
      <c r="A3" s="717" t="s">
        <v>98</v>
      </c>
      <c r="B3" s="718"/>
      <c r="C3" s="798" t="s">
        <v>281</v>
      </c>
      <c r="D3" s="799"/>
      <c r="E3" s="799"/>
      <c r="F3" s="799"/>
      <c r="G3" s="799"/>
      <c r="H3" s="799"/>
      <c r="I3" s="800"/>
    </row>
    <row r="4" spans="1:11" s="105" customFormat="1" ht="22" customHeight="1">
      <c r="A4" s="751"/>
      <c r="B4" s="752"/>
      <c r="C4" s="732" t="s">
        <v>102</v>
      </c>
      <c r="D4" s="801" t="s">
        <v>272</v>
      </c>
      <c r="E4" s="802"/>
      <c r="F4" s="803"/>
      <c r="G4" s="801" t="s">
        <v>273</v>
      </c>
      <c r="H4" s="802"/>
      <c r="I4" s="803"/>
    </row>
    <row r="5" spans="1:11" s="105" customFormat="1" ht="20.25" customHeight="1">
      <c r="A5" s="719"/>
      <c r="B5" s="720"/>
      <c r="C5" s="732"/>
      <c r="D5" s="279" t="s">
        <v>102</v>
      </c>
      <c r="E5" s="280" t="s">
        <v>274</v>
      </c>
      <c r="F5" s="280" t="s">
        <v>275</v>
      </c>
      <c r="G5" s="279" t="s">
        <v>102</v>
      </c>
      <c r="H5" s="280" t="s">
        <v>274</v>
      </c>
      <c r="I5" s="280" t="s">
        <v>277</v>
      </c>
    </row>
    <row r="6" spans="1:11" s="105" customFormat="1" ht="14">
      <c r="A6" s="238">
        <v>2011</v>
      </c>
      <c r="B6" s="272" t="s">
        <v>231</v>
      </c>
      <c r="C6" s="388">
        <f>D6+G6</f>
        <v>19.89</v>
      </c>
      <c r="D6" s="378">
        <f>E6+F6</f>
        <v>14.77</v>
      </c>
      <c r="E6" s="388">
        <v>2.86</v>
      </c>
      <c r="F6" s="380">
        <v>11.91</v>
      </c>
      <c r="G6" s="388">
        <f>H6+I6</f>
        <v>5.12</v>
      </c>
      <c r="H6" s="380">
        <v>3.78</v>
      </c>
      <c r="I6" s="379">
        <v>1.34</v>
      </c>
      <c r="J6" s="104"/>
      <c r="K6" s="104"/>
    </row>
    <row r="7" spans="1:11" s="105" customFormat="1" ht="14">
      <c r="A7" s="239"/>
      <c r="B7" s="273" t="s">
        <v>232</v>
      </c>
      <c r="C7" s="386">
        <f>D7+G7</f>
        <v>25.330000000000002</v>
      </c>
      <c r="D7" s="382">
        <f>E7+F7</f>
        <v>18.350000000000001</v>
      </c>
      <c r="E7" s="386">
        <v>3.12</v>
      </c>
      <c r="F7" s="381">
        <v>15.23</v>
      </c>
      <c r="G7" s="386">
        <f>H7+I7</f>
        <v>6.98</v>
      </c>
      <c r="H7" s="381">
        <v>4.6900000000000004</v>
      </c>
      <c r="I7" s="383">
        <v>2.29</v>
      </c>
      <c r="J7" s="104"/>
      <c r="K7" s="104"/>
    </row>
    <row r="8" spans="1:11" s="105" customFormat="1" ht="14">
      <c r="A8" s="239"/>
      <c r="B8" s="273" t="s">
        <v>233</v>
      </c>
      <c r="C8" s="386">
        <f t="shared" ref="C8:C33" si="0">D8+G8</f>
        <v>23.21</v>
      </c>
      <c r="D8" s="382">
        <f t="shared" ref="D8:D33" si="1">E8+F8</f>
        <v>18.05</v>
      </c>
      <c r="E8" s="386">
        <v>2.86</v>
      </c>
      <c r="F8" s="381">
        <v>15.19</v>
      </c>
      <c r="G8" s="386">
        <f t="shared" ref="G8:G33" si="2">H8+I8</f>
        <v>5.16</v>
      </c>
      <c r="H8" s="381">
        <v>4.63</v>
      </c>
      <c r="I8" s="383">
        <v>0.53</v>
      </c>
      <c r="J8" s="104"/>
      <c r="K8" s="104"/>
    </row>
    <row r="9" spans="1:11" s="105" customFormat="1" ht="14">
      <c r="A9" s="240"/>
      <c r="B9" s="274" t="s">
        <v>234</v>
      </c>
      <c r="C9" s="390">
        <f t="shared" si="0"/>
        <v>30.439999999999998</v>
      </c>
      <c r="D9" s="384">
        <f t="shared" si="1"/>
        <v>19.22</v>
      </c>
      <c r="E9" s="390">
        <v>4.7699999999999996</v>
      </c>
      <c r="F9" s="385">
        <v>14.45</v>
      </c>
      <c r="G9" s="390">
        <f t="shared" si="2"/>
        <v>11.219999999999999</v>
      </c>
      <c r="H9" s="391">
        <v>8.11</v>
      </c>
      <c r="I9" s="307">
        <v>3.11</v>
      </c>
      <c r="J9" s="104"/>
      <c r="K9" s="104"/>
    </row>
    <row r="10" spans="1:11" s="105" customFormat="1" ht="14">
      <c r="A10" s="239">
        <v>2012</v>
      </c>
      <c r="B10" s="273" t="s">
        <v>231</v>
      </c>
      <c r="C10" s="386">
        <f t="shared" si="0"/>
        <v>26.49</v>
      </c>
      <c r="D10" s="382">
        <f t="shared" si="1"/>
        <v>16.309999999999999</v>
      </c>
      <c r="E10" s="386">
        <v>3.7</v>
      </c>
      <c r="F10" s="381">
        <v>12.61</v>
      </c>
      <c r="G10" s="386">
        <f t="shared" si="2"/>
        <v>10.18</v>
      </c>
      <c r="H10" s="381">
        <v>8.5399999999999991</v>
      </c>
      <c r="I10" s="383">
        <v>1.64</v>
      </c>
      <c r="J10" s="104"/>
      <c r="K10" s="104"/>
    </row>
    <row r="11" spans="1:11" s="105" customFormat="1" ht="14">
      <c r="A11" s="239"/>
      <c r="B11" s="273" t="s">
        <v>232</v>
      </c>
      <c r="C11" s="386">
        <f t="shared" si="0"/>
        <v>25.86</v>
      </c>
      <c r="D11" s="382">
        <f t="shared" si="1"/>
        <v>15.34</v>
      </c>
      <c r="E11" s="386">
        <v>2.67</v>
      </c>
      <c r="F11" s="381">
        <v>12.67</v>
      </c>
      <c r="G11" s="386">
        <f t="shared" si="2"/>
        <v>10.52</v>
      </c>
      <c r="H11" s="381">
        <v>7.48</v>
      </c>
      <c r="I11" s="383">
        <v>3.04</v>
      </c>
      <c r="J11" s="104"/>
      <c r="K11" s="104"/>
    </row>
    <row r="12" spans="1:11" s="105" customFormat="1" ht="14">
      <c r="A12" s="239"/>
      <c r="B12" s="273" t="s">
        <v>233</v>
      </c>
      <c r="C12" s="386">
        <f t="shared" si="0"/>
        <v>29.409999999999997</v>
      </c>
      <c r="D12" s="382">
        <f t="shared" si="1"/>
        <v>17.559999999999999</v>
      </c>
      <c r="E12" s="386">
        <v>3.29</v>
      </c>
      <c r="F12" s="381">
        <v>14.27</v>
      </c>
      <c r="G12" s="386">
        <f t="shared" si="2"/>
        <v>11.85</v>
      </c>
      <c r="H12" s="381">
        <v>8.99</v>
      </c>
      <c r="I12" s="383">
        <v>2.86</v>
      </c>
      <c r="J12" s="104"/>
      <c r="K12" s="104"/>
    </row>
    <row r="13" spans="1:11" s="105" customFormat="1" ht="14">
      <c r="A13" s="239"/>
      <c r="B13" s="273" t="s">
        <v>234</v>
      </c>
      <c r="C13" s="390">
        <f t="shared" si="0"/>
        <v>32.300000000000004</v>
      </c>
      <c r="D13" s="384">
        <f t="shared" si="1"/>
        <v>20.400000000000002</v>
      </c>
      <c r="E13" s="390">
        <v>2.87</v>
      </c>
      <c r="F13" s="385">
        <v>17.53</v>
      </c>
      <c r="G13" s="390">
        <f t="shared" si="2"/>
        <v>11.9</v>
      </c>
      <c r="H13" s="385">
        <v>7.74</v>
      </c>
      <c r="I13" s="307">
        <v>4.16</v>
      </c>
      <c r="J13" s="104"/>
      <c r="K13" s="104"/>
    </row>
    <row r="14" spans="1:11" s="105" customFormat="1" ht="14">
      <c r="A14" s="238">
        <v>2013</v>
      </c>
      <c r="B14" s="272" t="s">
        <v>231</v>
      </c>
      <c r="C14" s="386">
        <f t="shared" si="0"/>
        <v>30.83</v>
      </c>
      <c r="D14" s="382">
        <f t="shared" si="1"/>
        <v>16.25</v>
      </c>
      <c r="E14" s="386">
        <v>3.02</v>
      </c>
      <c r="F14" s="382">
        <v>13.23</v>
      </c>
      <c r="G14" s="386">
        <f t="shared" si="2"/>
        <v>14.579999999999998</v>
      </c>
      <c r="H14" s="382">
        <v>12.29</v>
      </c>
      <c r="I14" s="386">
        <v>2.29</v>
      </c>
      <c r="J14" s="104"/>
      <c r="K14" s="104"/>
    </row>
    <row r="15" spans="1:11" s="105" customFormat="1" ht="14">
      <c r="A15" s="239"/>
      <c r="B15" s="273" t="s">
        <v>232</v>
      </c>
      <c r="C15" s="386">
        <f t="shared" si="0"/>
        <v>33.200000000000003</v>
      </c>
      <c r="D15" s="382">
        <f t="shared" si="1"/>
        <v>21.34</v>
      </c>
      <c r="E15" s="386">
        <v>3.38</v>
      </c>
      <c r="F15" s="382">
        <v>17.96</v>
      </c>
      <c r="G15" s="386">
        <f t="shared" si="2"/>
        <v>11.860000000000001</v>
      </c>
      <c r="H15" s="382">
        <v>8.8800000000000008</v>
      </c>
      <c r="I15" s="386">
        <v>2.98</v>
      </c>
      <c r="J15" s="104"/>
      <c r="K15" s="104"/>
    </row>
    <row r="16" spans="1:11" s="105" customFormat="1" ht="14">
      <c r="A16" s="239"/>
      <c r="B16" s="273" t="s">
        <v>233</v>
      </c>
      <c r="C16" s="386">
        <f t="shared" si="0"/>
        <v>33.64</v>
      </c>
      <c r="D16" s="382">
        <f t="shared" si="1"/>
        <v>19.71</v>
      </c>
      <c r="E16" s="386">
        <v>4.13</v>
      </c>
      <c r="F16" s="382">
        <v>15.58</v>
      </c>
      <c r="G16" s="386">
        <f t="shared" si="2"/>
        <v>13.930000000000001</v>
      </c>
      <c r="H16" s="382">
        <v>13.38</v>
      </c>
      <c r="I16" s="386">
        <v>0.55000000000000004</v>
      </c>
      <c r="J16" s="104"/>
      <c r="K16" s="104"/>
    </row>
    <row r="17" spans="1:11" s="105" customFormat="1" ht="14">
      <c r="A17" s="240"/>
      <c r="B17" s="274" t="s">
        <v>234</v>
      </c>
      <c r="C17" s="390">
        <f t="shared" si="0"/>
        <v>33.85</v>
      </c>
      <c r="D17" s="384">
        <f t="shared" si="1"/>
        <v>22.96</v>
      </c>
      <c r="E17" s="390">
        <v>7.06</v>
      </c>
      <c r="F17" s="384">
        <v>15.9</v>
      </c>
      <c r="G17" s="390">
        <f t="shared" si="2"/>
        <v>10.89</v>
      </c>
      <c r="H17" s="384">
        <v>6.74</v>
      </c>
      <c r="I17" s="390">
        <v>4.1500000000000004</v>
      </c>
      <c r="J17" s="104"/>
      <c r="K17" s="104"/>
    </row>
    <row r="18" spans="1:11" s="105" customFormat="1" ht="14">
      <c r="A18" s="238">
        <v>2014</v>
      </c>
      <c r="B18" s="272" t="s">
        <v>231</v>
      </c>
      <c r="C18" s="386">
        <f t="shared" si="0"/>
        <v>36.07</v>
      </c>
      <c r="D18" s="382">
        <f t="shared" si="1"/>
        <v>24.88</v>
      </c>
      <c r="E18" s="386">
        <v>9.7899999999999991</v>
      </c>
      <c r="F18" s="382">
        <v>15.09</v>
      </c>
      <c r="G18" s="386">
        <f t="shared" si="2"/>
        <v>11.190000000000001</v>
      </c>
      <c r="H18" s="378">
        <v>8.4700000000000006</v>
      </c>
      <c r="I18" s="388">
        <v>2.72</v>
      </c>
      <c r="J18" s="104"/>
      <c r="K18" s="104"/>
    </row>
    <row r="19" spans="1:11" s="105" customFormat="1" ht="14">
      <c r="A19" s="239"/>
      <c r="B19" s="273" t="s">
        <v>232</v>
      </c>
      <c r="C19" s="386">
        <f t="shared" si="0"/>
        <v>35.47</v>
      </c>
      <c r="D19" s="382">
        <f t="shared" si="1"/>
        <v>18.22</v>
      </c>
      <c r="E19" s="386">
        <v>3.6</v>
      </c>
      <c r="F19" s="382">
        <v>14.62</v>
      </c>
      <c r="G19" s="386">
        <f t="shared" si="2"/>
        <v>17.25</v>
      </c>
      <c r="H19" s="382">
        <v>8.65</v>
      </c>
      <c r="I19" s="386">
        <v>8.6</v>
      </c>
      <c r="J19" s="104"/>
      <c r="K19" s="104"/>
    </row>
    <row r="20" spans="1:11" s="105" customFormat="1" ht="14">
      <c r="A20" s="239"/>
      <c r="B20" s="273" t="s">
        <v>233</v>
      </c>
      <c r="C20" s="386">
        <f t="shared" si="0"/>
        <v>33.35</v>
      </c>
      <c r="D20" s="382">
        <f t="shared" si="1"/>
        <v>17.82</v>
      </c>
      <c r="E20" s="386">
        <v>3.39</v>
      </c>
      <c r="F20" s="382">
        <v>14.43</v>
      </c>
      <c r="G20" s="386">
        <f t="shared" si="2"/>
        <v>15.53</v>
      </c>
      <c r="H20" s="382">
        <v>9.01</v>
      </c>
      <c r="I20" s="386">
        <v>6.52</v>
      </c>
      <c r="J20" s="104"/>
      <c r="K20" s="104"/>
    </row>
    <row r="21" spans="1:11" s="105" customFormat="1" ht="14">
      <c r="A21" s="240"/>
      <c r="B21" s="274" t="s">
        <v>234</v>
      </c>
      <c r="C21" s="390">
        <f t="shared" si="0"/>
        <v>31.990000000000002</v>
      </c>
      <c r="D21" s="384">
        <f t="shared" si="1"/>
        <v>17.52</v>
      </c>
      <c r="E21" s="390">
        <v>3.16</v>
      </c>
      <c r="F21" s="384">
        <v>14.36</v>
      </c>
      <c r="G21" s="390">
        <f t="shared" si="2"/>
        <v>14.47</v>
      </c>
      <c r="H21" s="396">
        <v>7.86</v>
      </c>
      <c r="I21" s="390">
        <v>6.61</v>
      </c>
      <c r="J21" s="104"/>
      <c r="K21" s="104"/>
    </row>
    <row r="22" spans="1:11" s="105" customFormat="1" ht="14">
      <c r="A22" s="239">
        <v>2015</v>
      </c>
      <c r="B22" s="247" t="s">
        <v>231</v>
      </c>
      <c r="C22" s="386">
        <f t="shared" si="0"/>
        <v>34.43</v>
      </c>
      <c r="D22" s="382">
        <f t="shared" si="1"/>
        <v>18.149999999999999</v>
      </c>
      <c r="E22" s="386">
        <v>3.25</v>
      </c>
      <c r="F22" s="382">
        <v>14.9</v>
      </c>
      <c r="G22" s="386">
        <f t="shared" si="2"/>
        <v>16.28</v>
      </c>
      <c r="H22" s="382">
        <v>8.5299999999999994</v>
      </c>
      <c r="I22" s="388">
        <v>7.75</v>
      </c>
      <c r="J22" s="104"/>
      <c r="K22" s="104"/>
    </row>
    <row r="23" spans="1:11" s="105" customFormat="1" ht="14">
      <c r="A23" s="284"/>
      <c r="B23" s="251" t="s">
        <v>232</v>
      </c>
      <c r="C23" s="386">
        <f t="shared" si="0"/>
        <v>35.369999999999997</v>
      </c>
      <c r="D23" s="382">
        <f t="shared" si="1"/>
        <v>21.349999999999998</v>
      </c>
      <c r="E23" s="386">
        <v>3.54</v>
      </c>
      <c r="F23" s="386">
        <v>17.809999999999999</v>
      </c>
      <c r="G23" s="386">
        <f t="shared" si="2"/>
        <v>14.02</v>
      </c>
      <c r="H23" s="386">
        <v>8.6999999999999993</v>
      </c>
      <c r="I23" s="386">
        <v>5.32</v>
      </c>
      <c r="J23" s="104"/>
      <c r="K23" s="104"/>
    </row>
    <row r="24" spans="1:11" s="105" customFormat="1" ht="14">
      <c r="A24" s="284"/>
      <c r="B24" s="251" t="s">
        <v>233</v>
      </c>
      <c r="C24" s="386">
        <f t="shared" si="0"/>
        <v>40.199999999999996</v>
      </c>
      <c r="D24" s="382">
        <f t="shared" si="1"/>
        <v>27.439999999999998</v>
      </c>
      <c r="E24" s="386">
        <v>10.65</v>
      </c>
      <c r="F24" s="386">
        <v>16.79</v>
      </c>
      <c r="G24" s="386">
        <f t="shared" si="2"/>
        <v>12.76</v>
      </c>
      <c r="H24" s="386">
        <v>5.31</v>
      </c>
      <c r="I24" s="386">
        <v>7.45</v>
      </c>
      <c r="J24" s="104"/>
      <c r="K24" s="104"/>
    </row>
    <row r="25" spans="1:11" s="105" customFormat="1" ht="14">
      <c r="A25" s="240"/>
      <c r="B25" s="274" t="s">
        <v>234</v>
      </c>
      <c r="C25" s="390">
        <f t="shared" si="0"/>
        <v>32.709999999999994</v>
      </c>
      <c r="D25" s="384">
        <f t="shared" si="1"/>
        <v>17.7</v>
      </c>
      <c r="E25" s="390">
        <v>2.54</v>
      </c>
      <c r="F25" s="390">
        <v>15.16</v>
      </c>
      <c r="G25" s="390">
        <f t="shared" si="2"/>
        <v>15.009999999999998</v>
      </c>
      <c r="H25" s="390">
        <v>9.3699999999999992</v>
      </c>
      <c r="I25" s="390">
        <v>5.64</v>
      </c>
      <c r="J25" s="104"/>
      <c r="K25" s="104"/>
    </row>
    <row r="26" spans="1:11" s="105" customFormat="1" ht="14">
      <c r="A26" s="238">
        <v>2016</v>
      </c>
      <c r="B26" s="247" t="s">
        <v>231</v>
      </c>
      <c r="C26" s="386">
        <f t="shared" si="0"/>
        <v>39.28</v>
      </c>
      <c r="D26" s="382">
        <f t="shared" si="1"/>
        <v>20.919999999999998</v>
      </c>
      <c r="E26" s="386">
        <v>3.84</v>
      </c>
      <c r="F26" s="386">
        <v>17.079999999999998</v>
      </c>
      <c r="G26" s="386">
        <f t="shared" si="2"/>
        <v>18.36</v>
      </c>
      <c r="H26" s="386">
        <v>10.07</v>
      </c>
      <c r="I26" s="388">
        <v>8.2899999999999991</v>
      </c>
      <c r="J26" s="104"/>
      <c r="K26" s="104"/>
    </row>
    <row r="27" spans="1:11" s="105" customFormat="1" ht="14">
      <c r="A27" s="239"/>
      <c r="B27" s="251" t="s">
        <v>232</v>
      </c>
      <c r="C27" s="386">
        <f t="shared" si="0"/>
        <v>35.200000000000003</v>
      </c>
      <c r="D27" s="382">
        <f t="shared" si="1"/>
        <v>16.47</v>
      </c>
      <c r="E27" s="386">
        <v>2.62</v>
      </c>
      <c r="F27" s="386">
        <v>13.85</v>
      </c>
      <c r="G27" s="386">
        <f t="shared" si="2"/>
        <v>18.73</v>
      </c>
      <c r="H27" s="386">
        <v>11.28</v>
      </c>
      <c r="I27" s="386">
        <v>7.45</v>
      </c>
      <c r="J27" s="104"/>
      <c r="K27" s="104"/>
    </row>
    <row r="28" spans="1:11" s="105" customFormat="1" ht="14">
      <c r="A28" s="239"/>
      <c r="B28" s="251" t="s">
        <v>233</v>
      </c>
      <c r="C28" s="386">
        <f t="shared" si="0"/>
        <v>37.85</v>
      </c>
      <c r="D28" s="382">
        <f t="shared" si="1"/>
        <v>17.28</v>
      </c>
      <c r="E28" s="386">
        <v>2.08</v>
      </c>
      <c r="F28" s="386">
        <v>15.2</v>
      </c>
      <c r="G28" s="386">
        <f t="shared" si="2"/>
        <v>20.57</v>
      </c>
      <c r="H28" s="386">
        <v>16.399999999999999</v>
      </c>
      <c r="I28" s="386">
        <v>4.17</v>
      </c>
      <c r="J28" s="104"/>
      <c r="K28" s="104"/>
    </row>
    <row r="29" spans="1:11" s="105" customFormat="1" ht="14">
      <c r="A29" s="240"/>
      <c r="B29" s="252" t="s">
        <v>234</v>
      </c>
      <c r="C29" s="390">
        <f t="shared" si="0"/>
        <v>61.84</v>
      </c>
      <c r="D29" s="384">
        <f t="shared" si="1"/>
        <v>26.62</v>
      </c>
      <c r="E29" s="390">
        <v>6.41</v>
      </c>
      <c r="F29" s="390">
        <v>20.21</v>
      </c>
      <c r="G29" s="390">
        <f t="shared" si="2"/>
        <v>35.22</v>
      </c>
      <c r="H29" s="390">
        <v>29.14</v>
      </c>
      <c r="I29" s="390">
        <v>6.08</v>
      </c>
      <c r="J29" s="104"/>
      <c r="K29" s="104"/>
    </row>
    <row r="30" spans="1:11" s="105" customFormat="1" ht="14.25" customHeight="1">
      <c r="A30" s="238">
        <v>2017</v>
      </c>
      <c r="B30" s="247" t="s">
        <v>231</v>
      </c>
      <c r="C30" s="386">
        <f t="shared" si="0"/>
        <v>36.909999999999997</v>
      </c>
      <c r="D30" s="382">
        <f t="shared" si="1"/>
        <v>19.759999999999998</v>
      </c>
      <c r="E30" s="386">
        <v>3.45</v>
      </c>
      <c r="F30" s="386">
        <v>16.309999999999999</v>
      </c>
      <c r="G30" s="386">
        <f t="shared" si="2"/>
        <v>17.149999999999999</v>
      </c>
      <c r="H30" s="386">
        <v>9.36</v>
      </c>
      <c r="I30" s="388">
        <v>7.79</v>
      </c>
      <c r="J30" s="104"/>
      <c r="K30" s="104"/>
    </row>
    <row r="31" spans="1:11" s="105" customFormat="1" ht="14.25" customHeight="1">
      <c r="A31" s="239"/>
      <c r="B31" s="251" t="s">
        <v>232</v>
      </c>
      <c r="C31" s="386">
        <f>D31+G31</f>
        <v>58.290000000000006</v>
      </c>
      <c r="D31" s="382">
        <f>E31+F31</f>
        <v>19.410000000000004</v>
      </c>
      <c r="E31" s="386">
        <v>2.99</v>
      </c>
      <c r="F31" s="386">
        <v>16.420000000000002</v>
      </c>
      <c r="G31" s="386">
        <f>H31+I31</f>
        <v>38.880000000000003</v>
      </c>
      <c r="H31" s="386">
        <v>31.57</v>
      </c>
      <c r="I31" s="386">
        <v>7.31</v>
      </c>
      <c r="J31" s="104"/>
      <c r="K31" s="104"/>
    </row>
    <row r="32" spans="1:11" s="105" customFormat="1" ht="14.25" customHeight="1">
      <c r="A32" s="239"/>
      <c r="B32" s="251" t="s">
        <v>233</v>
      </c>
      <c r="C32" s="386">
        <v>27.869999999999997</v>
      </c>
      <c r="D32" s="382">
        <f>E32+F32</f>
        <v>18.84</v>
      </c>
      <c r="E32" s="386">
        <v>3.26</v>
      </c>
      <c r="F32" s="386">
        <v>15.58</v>
      </c>
      <c r="G32" s="386">
        <v>9.0299999999999994</v>
      </c>
      <c r="H32" s="386">
        <v>12.75</v>
      </c>
      <c r="I32" s="386" t="s">
        <v>282</v>
      </c>
      <c r="J32" s="104"/>
      <c r="K32" s="104"/>
    </row>
    <row r="33" spans="1:11" s="105" customFormat="1" ht="14.25" customHeight="1">
      <c r="A33" s="240"/>
      <c r="B33" s="252" t="s">
        <v>234</v>
      </c>
      <c r="C33" s="390">
        <f t="shared" si="0"/>
        <v>21.800000000000004</v>
      </c>
      <c r="D33" s="384">
        <f t="shared" si="1"/>
        <v>18.810000000000002</v>
      </c>
      <c r="E33" s="390">
        <v>4.75</v>
      </c>
      <c r="F33" s="390">
        <v>14.06</v>
      </c>
      <c r="G33" s="390">
        <f t="shared" si="2"/>
        <v>2.99</v>
      </c>
      <c r="H33" s="390">
        <v>1.0900000000000001</v>
      </c>
      <c r="I33" s="390">
        <v>1.9</v>
      </c>
      <c r="J33" s="104"/>
      <c r="K33" s="104"/>
    </row>
    <row r="34" spans="1:11" s="105" customFormat="1" ht="14.25" customHeight="1">
      <c r="A34" s="238">
        <v>2018</v>
      </c>
      <c r="B34" s="272" t="s">
        <v>231</v>
      </c>
      <c r="C34" s="388">
        <f t="shared" ref="C34:C44" si="3">D34+G34</f>
        <v>31.22</v>
      </c>
      <c r="D34" s="388">
        <f t="shared" ref="D34:D42" si="4">E34+F34</f>
        <v>15.27</v>
      </c>
      <c r="E34" s="388">
        <v>2.2799999999999998</v>
      </c>
      <c r="F34" s="388">
        <v>12.99</v>
      </c>
      <c r="G34" s="388">
        <f t="shared" ref="G34:G66" si="5">H34+I34</f>
        <v>15.95</v>
      </c>
      <c r="H34" s="388">
        <v>13.52</v>
      </c>
      <c r="I34" s="397">
        <v>2.4300000000000002</v>
      </c>
      <c r="J34" s="104"/>
      <c r="K34" s="104"/>
    </row>
    <row r="35" spans="1:11" s="105" customFormat="1" ht="14.25" customHeight="1">
      <c r="A35" s="239"/>
      <c r="B35" s="273" t="s">
        <v>232</v>
      </c>
      <c r="C35" s="386">
        <f t="shared" si="3"/>
        <v>35.53</v>
      </c>
      <c r="D35" s="386">
        <f t="shared" si="4"/>
        <v>17.169999999999998</v>
      </c>
      <c r="E35" s="386">
        <v>2.8</v>
      </c>
      <c r="F35" s="386">
        <v>14.37</v>
      </c>
      <c r="G35" s="386">
        <f t="shared" si="5"/>
        <v>18.36</v>
      </c>
      <c r="H35" s="386">
        <v>16.46</v>
      </c>
      <c r="I35" s="394">
        <v>1.9</v>
      </c>
      <c r="J35" s="104"/>
      <c r="K35" s="104"/>
    </row>
    <row r="36" spans="1:11" s="105" customFormat="1" ht="14.25" customHeight="1">
      <c r="A36" s="239"/>
      <c r="B36" s="273" t="s">
        <v>233</v>
      </c>
      <c r="C36" s="386">
        <f t="shared" si="3"/>
        <v>24.57</v>
      </c>
      <c r="D36" s="386">
        <f t="shared" si="4"/>
        <v>16.95</v>
      </c>
      <c r="E36" s="386">
        <v>3.37</v>
      </c>
      <c r="F36" s="386">
        <v>13.58</v>
      </c>
      <c r="G36" s="386">
        <f t="shared" si="5"/>
        <v>7.6199999999999992</v>
      </c>
      <c r="H36" s="386">
        <v>5.64</v>
      </c>
      <c r="I36" s="386">
        <v>1.98</v>
      </c>
      <c r="J36" s="104"/>
      <c r="K36" s="104"/>
    </row>
    <row r="37" spans="1:11" s="105" customFormat="1" ht="14.25" customHeight="1">
      <c r="A37" s="240"/>
      <c r="B37" s="274" t="s">
        <v>234</v>
      </c>
      <c r="C37" s="390">
        <f t="shared" si="3"/>
        <v>35.25</v>
      </c>
      <c r="D37" s="390">
        <f t="shared" si="4"/>
        <v>16.580000000000002</v>
      </c>
      <c r="E37" s="390">
        <v>3.28</v>
      </c>
      <c r="F37" s="390">
        <v>13.3</v>
      </c>
      <c r="G37" s="390">
        <f t="shared" si="5"/>
        <v>18.670000000000002</v>
      </c>
      <c r="H37" s="390">
        <v>16.23</v>
      </c>
      <c r="I37" s="396">
        <v>2.44</v>
      </c>
      <c r="J37" s="104"/>
      <c r="K37" s="104"/>
    </row>
    <row r="38" spans="1:11" s="105" customFormat="1" ht="14.25" customHeight="1">
      <c r="A38" s="238">
        <v>2019</v>
      </c>
      <c r="B38" s="247" t="s">
        <v>231</v>
      </c>
      <c r="C38" s="388">
        <f t="shared" si="3"/>
        <v>27.97</v>
      </c>
      <c r="D38" s="388">
        <f t="shared" si="4"/>
        <v>15.149999999999999</v>
      </c>
      <c r="E38" s="388">
        <v>2.79</v>
      </c>
      <c r="F38" s="388">
        <v>12.36</v>
      </c>
      <c r="G38" s="388">
        <f t="shared" si="5"/>
        <v>12.82</v>
      </c>
      <c r="H38" s="388">
        <v>10.34</v>
      </c>
      <c r="I38" s="388">
        <v>2.48</v>
      </c>
      <c r="J38" s="104"/>
      <c r="K38" s="104"/>
    </row>
    <row r="39" spans="1:11" s="105" customFormat="1" ht="14.25" customHeight="1">
      <c r="A39" s="239"/>
      <c r="B39" s="273" t="s">
        <v>232</v>
      </c>
      <c r="C39" s="386">
        <f t="shared" si="3"/>
        <v>36.819999999999993</v>
      </c>
      <c r="D39" s="386">
        <f t="shared" si="4"/>
        <v>20.83</v>
      </c>
      <c r="E39" s="386">
        <v>7.01</v>
      </c>
      <c r="F39" s="386">
        <v>13.82</v>
      </c>
      <c r="G39" s="386">
        <f t="shared" si="5"/>
        <v>15.989999999999998</v>
      </c>
      <c r="H39" s="386">
        <v>14.11</v>
      </c>
      <c r="I39" s="386">
        <v>1.88</v>
      </c>
      <c r="J39" s="104"/>
      <c r="K39" s="104"/>
    </row>
    <row r="40" spans="1:11" s="105" customFormat="1" ht="14.25" customHeight="1">
      <c r="A40" s="239"/>
      <c r="B40" s="251" t="s">
        <v>233</v>
      </c>
      <c r="C40" s="386">
        <f t="shared" si="3"/>
        <v>37.86</v>
      </c>
      <c r="D40" s="386">
        <f t="shared" si="4"/>
        <v>21.19</v>
      </c>
      <c r="E40" s="386">
        <v>3.96</v>
      </c>
      <c r="F40" s="386">
        <v>17.23</v>
      </c>
      <c r="G40" s="386">
        <f t="shared" si="5"/>
        <v>16.670000000000002</v>
      </c>
      <c r="H40" s="386">
        <v>14.07</v>
      </c>
      <c r="I40" s="386">
        <v>2.6</v>
      </c>
      <c r="J40" s="104"/>
      <c r="K40" s="104"/>
    </row>
    <row r="41" spans="1:11" s="105" customFormat="1" ht="14.25" customHeight="1">
      <c r="A41" s="240"/>
      <c r="B41" s="274" t="s">
        <v>234</v>
      </c>
      <c r="C41" s="390">
        <f t="shared" si="3"/>
        <v>43.769999999999996</v>
      </c>
      <c r="D41" s="390">
        <f t="shared" si="4"/>
        <v>25.5</v>
      </c>
      <c r="E41" s="390">
        <v>9.19</v>
      </c>
      <c r="F41" s="390">
        <v>16.309999999999999</v>
      </c>
      <c r="G41" s="390">
        <f t="shared" si="5"/>
        <v>18.27</v>
      </c>
      <c r="H41" s="390">
        <v>15.94</v>
      </c>
      <c r="I41" s="390">
        <v>2.33</v>
      </c>
      <c r="J41" s="104"/>
      <c r="K41" s="104"/>
    </row>
    <row r="42" spans="1:11" s="105" customFormat="1" ht="14.25" customHeight="1">
      <c r="A42" s="238">
        <v>2020</v>
      </c>
      <c r="B42" s="272" t="s">
        <v>231</v>
      </c>
      <c r="C42" s="388">
        <f t="shared" si="3"/>
        <v>59.309999999999995</v>
      </c>
      <c r="D42" s="388">
        <f t="shared" si="4"/>
        <v>17.72</v>
      </c>
      <c r="E42" s="388">
        <v>4.74</v>
      </c>
      <c r="F42" s="388">
        <v>12.98</v>
      </c>
      <c r="G42" s="388">
        <f t="shared" si="5"/>
        <v>41.589999999999996</v>
      </c>
      <c r="H42" s="388">
        <v>38.979999999999997</v>
      </c>
      <c r="I42" s="388">
        <v>2.61</v>
      </c>
      <c r="J42" s="104"/>
      <c r="K42" s="104"/>
    </row>
    <row r="43" spans="1:11" s="105" customFormat="1" ht="14.25" customHeight="1">
      <c r="A43" s="239"/>
      <c r="B43" s="273" t="s">
        <v>232</v>
      </c>
      <c r="C43" s="386">
        <f t="shared" si="3"/>
        <v>17.189999999999998</v>
      </c>
      <c r="D43" s="386">
        <f t="shared" ref="D43:D55" si="6">E43+F43</f>
        <v>18.399999999999999</v>
      </c>
      <c r="E43" s="386">
        <v>3.62</v>
      </c>
      <c r="F43" s="386">
        <v>14.78</v>
      </c>
      <c r="G43" s="386">
        <v>-1.21</v>
      </c>
      <c r="H43" s="386">
        <v>-3.52</v>
      </c>
      <c r="I43" s="386">
        <v>2.31</v>
      </c>
      <c r="J43" s="104"/>
      <c r="K43" s="104"/>
    </row>
    <row r="44" spans="1:11" s="105" customFormat="1" ht="14.25" customHeight="1">
      <c r="A44" s="239"/>
      <c r="B44" s="273" t="s">
        <v>233</v>
      </c>
      <c r="C44" s="386">
        <f t="shared" si="3"/>
        <v>40.75</v>
      </c>
      <c r="D44" s="386">
        <f t="shared" si="6"/>
        <v>25.41</v>
      </c>
      <c r="E44" s="386">
        <v>5.36</v>
      </c>
      <c r="F44" s="386">
        <v>20.05</v>
      </c>
      <c r="G44" s="386">
        <f t="shared" si="5"/>
        <v>15.34</v>
      </c>
      <c r="H44" s="386">
        <v>13.29</v>
      </c>
      <c r="I44" s="386">
        <v>2.0499999999999998</v>
      </c>
      <c r="J44" s="104"/>
      <c r="K44" s="104"/>
    </row>
    <row r="45" spans="1:11" s="105" customFormat="1" ht="14.25" customHeight="1">
      <c r="A45" s="240"/>
      <c r="B45" s="274" t="s">
        <v>234</v>
      </c>
      <c r="C45" s="390">
        <f t="shared" ref="C45:C55" si="7">D45+G45</f>
        <v>44.59</v>
      </c>
      <c r="D45" s="390">
        <f t="shared" si="6"/>
        <v>19.670000000000002</v>
      </c>
      <c r="E45" s="390">
        <v>4.95</v>
      </c>
      <c r="F45" s="390">
        <v>14.72</v>
      </c>
      <c r="G45" s="390">
        <f t="shared" si="5"/>
        <v>24.919999999999998</v>
      </c>
      <c r="H45" s="390">
        <v>22.47</v>
      </c>
      <c r="I45" s="390">
        <v>2.4500000000000002</v>
      </c>
      <c r="J45" s="104"/>
      <c r="K45" s="104"/>
    </row>
    <row r="46" spans="1:11" s="105" customFormat="1" ht="14.25" customHeight="1">
      <c r="A46" s="238">
        <v>2021</v>
      </c>
      <c r="B46" s="272" t="s">
        <v>231</v>
      </c>
      <c r="C46" s="388">
        <f t="shared" si="7"/>
        <v>27.71</v>
      </c>
      <c r="D46" s="388">
        <f t="shared" si="6"/>
        <v>16.16</v>
      </c>
      <c r="E46" s="520">
        <v>3.97</v>
      </c>
      <c r="F46" s="520">
        <v>12.19</v>
      </c>
      <c r="G46" s="388">
        <f t="shared" si="5"/>
        <v>11.55</v>
      </c>
      <c r="H46" s="388">
        <v>9.09</v>
      </c>
      <c r="I46" s="388">
        <v>2.46</v>
      </c>
      <c r="J46" s="104"/>
      <c r="K46" s="104"/>
    </row>
    <row r="47" spans="1:11" s="105" customFormat="1" ht="14.25" customHeight="1">
      <c r="A47" s="239"/>
      <c r="B47" s="273" t="s">
        <v>232</v>
      </c>
      <c r="C47" s="386">
        <f t="shared" si="7"/>
        <v>42.24</v>
      </c>
      <c r="D47" s="386">
        <f t="shared" si="6"/>
        <v>16.060000000000002</v>
      </c>
      <c r="E47" s="521">
        <v>3.24</v>
      </c>
      <c r="F47" s="521">
        <v>12.82</v>
      </c>
      <c r="G47" s="386">
        <f t="shared" si="5"/>
        <v>26.18</v>
      </c>
      <c r="H47" s="386">
        <v>22.76</v>
      </c>
      <c r="I47" s="386">
        <v>3.42</v>
      </c>
      <c r="J47" s="104"/>
      <c r="K47" s="104"/>
    </row>
    <row r="48" spans="1:11" s="105" customFormat="1" ht="14.25" customHeight="1">
      <c r="A48" s="239"/>
      <c r="B48" s="273" t="s">
        <v>233</v>
      </c>
      <c r="C48" s="386">
        <f t="shared" si="7"/>
        <v>21.72</v>
      </c>
      <c r="D48" s="386">
        <f t="shared" si="6"/>
        <v>16.13</v>
      </c>
      <c r="E48" s="521">
        <v>4.6900000000000004</v>
      </c>
      <c r="F48" s="521">
        <v>11.44</v>
      </c>
      <c r="G48" s="386">
        <f t="shared" si="5"/>
        <v>5.59</v>
      </c>
      <c r="H48" s="386">
        <v>4.29</v>
      </c>
      <c r="I48" s="386">
        <v>1.3</v>
      </c>
      <c r="J48" s="104"/>
      <c r="K48" s="104"/>
    </row>
    <row r="49" spans="1:12" s="105" customFormat="1" ht="14.25" customHeight="1">
      <c r="A49" s="240"/>
      <c r="B49" s="274" t="s">
        <v>234</v>
      </c>
      <c r="C49" s="390">
        <f t="shared" si="7"/>
        <v>14.670000000000002</v>
      </c>
      <c r="D49" s="390">
        <f t="shared" si="6"/>
        <v>17.05</v>
      </c>
      <c r="E49" s="522">
        <v>3.45</v>
      </c>
      <c r="F49" s="522">
        <v>13.6</v>
      </c>
      <c r="G49" s="390">
        <f t="shared" si="5"/>
        <v>-2.38</v>
      </c>
      <c r="H49" s="390">
        <v>-4.5</v>
      </c>
      <c r="I49" s="390">
        <v>2.12</v>
      </c>
      <c r="J49" s="104"/>
      <c r="K49" s="104"/>
    </row>
    <row r="50" spans="1:12" s="105" customFormat="1" ht="14.25" customHeight="1">
      <c r="A50" s="238">
        <v>2022</v>
      </c>
      <c r="B50" s="272" t="s">
        <v>231</v>
      </c>
      <c r="C50" s="388">
        <f t="shared" si="7"/>
        <v>81.180000000000007</v>
      </c>
      <c r="D50" s="388">
        <f t="shared" si="6"/>
        <v>44.81</v>
      </c>
      <c r="E50" s="520">
        <v>18.18</v>
      </c>
      <c r="F50" s="520">
        <v>26.63</v>
      </c>
      <c r="G50" s="388">
        <f t="shared" si="5"/>
        <v>36.370000000000005</v>
      </c>
      <c r="H50" s="388">
        <v>30.37</v>
      </c>
      <c r="I50" s="388">
        <v>6</v>
      </c>
      <c r="J50" s="104"/>
      <c r="K50" s="104"/>
    </row>
    <row r="51" spans="1:12" s="105" customFormat="1" ht="14.25" customHeight="1">
      <c r="A51" s="239"/>
      <c r="B51" s="273" t="s">
        <v>232</v>
      </c>
      <c r="C51" s="386">
        <f t="shared" si="7"/>
        <v>29.88</v>
      </c>
      <c r="D51" s="386">
        <f t="shared" si="6"/>
        <v>14.48</v>
      </c>
      <c r="E51" s="521">
        <v>2.98</v>
      </c>
      <c r="F51" s="521">
        <v>11.5</v>
      </c>
      <c r="G51" s="386">
        <f t="shared" si="5"/>
        <v>15.399999999999999</v>
      </c>
      <c r="H51" s="386">
        <v>13.35</v>
      </c>
      <c r="I51" s="386">
        <v>2.0499999999999998</v>
      </c>
      <c r="J51" s="104"/>
      <c r="K51" s="104"/>
    </row>
    <row r="52" spans="1:12" s="105" customFormat="1" ht="14.25" customHeight="1">
      <c r="A52" s="239"/>
      <c r="B52" s="273" t="s">
        <v>233</v>
      </c>
      <c r="C52" s="386">
        <f t="shared" si="7"/>
        <v>26.15</v>
      </c>
      <c r="D52" s="386">
        <f t="shared" si="6"/>
        <v>14.65</v>
      </c>
      <c r="E52" s="521">
        <v>3.69</v>
      </c>
      <c r="F52" s="521">
        <v>10.96</v>
      </c>
      <c r="G52" s="386">
        <f t="shared" si="5"/>
        <v>11.5</v>
      </c>
      <c r="H52" s="386">
        <v>9.0399999999999991</v>
      </c>
      <c r="I52" s="386">
        <v>2.46</v>
      </c>
      <c r="J52" s="104"/>
      <c r="K52" s="104"/>
    </row>
    <row r="53" spans="1:12" s="105" customFormat="1" ht="14.25" customHeight="1">
      <c r="A53" s="240"/>
      <c r="B53" s="274" t="s">
        <v>234</v>
      </c>
      <c r="C53" s="390">
        <f t="shared" si="7"/>
        <v>14.75</v>
      </c>
      <c r="D53" s="390">
        <f t="shared" si="6"/>
        <v>17.38</v>
      </c>
      <c r="E53" s="522">
        <v>4.72</v>
      </c>
      <c r="F53" s="522">
        <v>12.66</v>
      </c>
      <c r="G53" s="390">
        <f t="shared" si="5"/>
        <v>-2.63</v>
      </c>
      <c r="H53" s="390">
        <v>-3.39</v>
      </c>
      <c r="I53" s="390">
        <v>0.76</v>
      </c>
      <c r="J53" s="104"/>
      <c r="K53" s="104"/>
    </row>
    <row r="54" spans="1:12" s="105" customFormat="1" ht="14.25" customHeight="1">
      <c r="A54" s="238">
        <v>2023</v>
      </c>
      <c r="B54" s="272" t="s">
        <v>231</v>
      </c>
      <c r="C54" s="388">
        <f t="shared" si="7"/>
        <v>34.61</v>
      </c>
      <c r="D54" s="388">
        <f t="shared" si="6"/>
        <v>20.89</v>
      </c>
      <c r="E54" s="520">
        <v>7.98</v>
      </c>
      <c r="F54" s="520">
        <v>12.91</v>
      </c>
      <c r="G54" s="388">
        <f t="shared" si="5"/>
        <v>13.72</v>
      </c>
      <c r="H54" s="388">
        <v>10.9</v>
      </c>
      <c r="I54" s="388">
        <v>2.82</v>
      </c>
      <c r="J54" s="104"/>
      <c r="K54" s="104"/>
      <c r="L54" s="104"/>
    </row>
    <row r="55" spans="1:12" s="105" customFormat="1" ht="14.25" customHeight="1">
      <c r="A55" s="239"/>
      <c r="B55" s="273" t="s">
        <v>232</v>
      </c>
      <c r="C55" s="386">
        <f t="shared" si="7"/>
        <v>34.387999999999998</v>
      </c>
      <c r="D55" s="386">
        <f t="shared" si="6"/>
        <v>19.571999999999999</v>
      </c>
      <c r="E55" s="521">
        <v>5.851</v>
      </c>
      <c r="F55" s="521">
        <v>13.721</v>
      </c>
      <c r="G55" s="386">
        <f t="shared" si="5"/>
        <v>14.816000000000001</v>
      </c>
      <c r="H55" s="386">
        <v>13.146000000000001</v>
      </c>
      <c r="I55" s="386">
        <v>1.67</v>
      </c>
      <c r="J55" s="104"/>
      <c r="K55" s="104"/>
      <c r="L55" s="104"/>
    </row>
    <row r="56" spans="1:12" s="105" customFormat="1" ht="14.25" customHeight="1">
      <c r="A56" s="239"/>
      <c r="B56" s="273" t="s">
        <v>233</v>
      </c>
      <c r="C56" s="386">
        <f t="shared" ref="C56" si="8">D56+G56</f>
        <v>47.47</v>
      </c>
      <c r="D56" s="386">
        <f t="shared" ref="D56" si="9">E56+F56</f>
        <v>33.71</v>
      </c>
      <c r="E56" s="521">
        <v>21.96</v>
      </c>
      <c r="F56" s="521">
        <v>11.75</v>
      </c>
      <c r="G56" s="386">
        <f t="shared" si="5"/>
        <v>13.76</v>
      </c>
      <c r="H56" s="386">
        <v>12.27</v>
      </c>
      <c r="I56" s="386">
        <v>1.49</v>
      </c>
      <c r="J56" s="104"/>
      <c r="K56" s="104"/>
      <c r="L56" s="104"/>
    </row>
    <row r="57" spans="1:12" s="105" customFormat="1" ht="14.25" customHeight="1">
      <c r="A57" s="240"/>
      <c r="B57" s="274" t="s">
        <v>234</v>
      </c>
      <c r="C57" s="390">
        <f t="shared" ref="C57" si="10">D57+G57</f>
        <v>25.950000000000003</v>
      </c>
      <c r="D57" s="390">
        <f t="shared" ref="D57" si="11">E57+F57</f>
        <v>17.100000000000001</v>
      </c>
      <c r="E57" s="522">
        <v>2.62</v>
      </c>
      <c r="F57" s="522">
        <v>14.48</v>
      </c>
      <c r="G57" s="390">
        <f t="shared" si="5"/>
        <v>8.85</v>
      </c>
      <c r="H57" s="390">
        <v>5.3</v>
      </c>
      <c r="I57" s="390">
        <v>3.55</v>
      </c>
      <c r="J57" s="104"/>
      <c r="K57" s="104"/>
      <c r="L57" s="104"/>
    </row>
    <row r="58" spans="1:12" s="105" customFormat="1" ht="14.25" customHeight="1">
      <c r="A58" s="238">
        <v>2024</v>
      </c>
      <c r="B58" s="272" t="s">
        <v>231</v>
      </c>
      <c r="C58" s="388">
        <f t="shared" ref="C58:C59" si="12">D58+G58</f>
        <v>36.180000000000007</v>
      </c>
      <c r="D58" s="388">
        <f t="shared" ref="D58:D59" si="13">E58+F58</f>
        <v>19.240000000000002</v>
      </c>
      <c r="E58" s="520">
        <v>7.36</v>
      </c>
      <c r="F58" s="520">
        <v>11.88</v>
      </c>
      <c r="G58" s="388">
        <f t="shared" si="5"/>
        <v>16.940000000000001</v>
      </c>
      <c r="H58" s="388">
        <v>15.73</v>
      </c>
      <c r="I58" s="388">
        <v>1.21</v>
      </c>
      <c r="J58" s="104"/>
      <c r="K58" s="104"/>
      <c r="L58" s="104"/>
    </row>
    <row r="59" spans="1:12" s="105" customFormat="1" ht="14.25" customHeight="1">
      <c r="A59" s="239"/>
      <c r="B59" s="273" t="s">
        <v>232</v>
      </c>
      <c r="C59" s="386">
        <f t="shared" si="12"/>
        <v>39.369999999999997</v>
      </c>
      <c r="D59" s="386">
        <f t="shared" si="13"/>
        <v>18.93</v>
      </c>
      <c r="E59" s="521">
        <v>4.16</v>
      </c>
      <c r="F59" s="521">
        <v>14.77</v>
      </c>
      <c r="G59" s="386">
        <f t="shared" si="5"/>
        <v>20.439999999999998</v>
      </c>
      <c r="H59" s="386">
        <v>15.67</v>
      </c>
      <c r="I59" s="386">
        <v>4.7699999999999996</v>
      </c>
      <c r="J59" s="104"/>
      <c r="K59" s="104"/>
      <c r="L59" s="104"/>
    </row>
    <row r="60" spans="1:12" s="105" customFormat="1" ht="14.25" customHeight="1">
      <c r="A60" s="239"/>
      <c r="B60" s="273" t="s">
        <v>233</v>
      </c>
      <c r="C60" s="386">
        <f t="shared" ref="C60" si="14">D60+G60</f>
        <v>27.380000000000003</v>
      </c>
      <c r="D60" s="386">
        <f t="shared" ref="D60" si="15">E60+F60</f>
        <v>17.18</v>
      </c>
      <c r="E60" s="521">
        <v>3.7800000000000002</v>
      </c>
      <c r="F60" s="521">
        <v>13.4</v>
      </c>
      <c r="G60" s="386">
        <f t="shared" si="5"/>
        <v>10.200000000000001</v>
      </c>
      <c r="H60" s="386">
        <v>13.05</v>
      </c>
      <c r="I60" s="386">
        <v>-2.85</v>
      </c>
      <c r="J60" s="104"/>
      <c r="K60" s="104"/>
      <c r="L60" s="104"/>
    </row>
    <row r="61" spans="1:12" s="105" customFormat="1" ht="14.25" customHeight="1">
      <c r="A61" s="240"/>
      <c r="B61" s="274" t="s">
        <v>234</v>
      </c>
      <c r="C61" s="390">
        <f t="shared" ref="C61" si="16">D61+G61</f>
        <v>27.520000000000007</v>
      </c>
      <c r="D61" s="390">
        <f t="shared" ref="D61" si="17">E61+F61</f>
        <v>7.5100000000000025</v>
      </c>
      <c r="E61" s="522">
        <v>-7.2399999999999993</v>
      </c>
      <c r="F61" s="522">
        <v>14.750000000000002</v>
      </c>
      <c r="G61" s="390">
        <f t="shared" si="5"/>
        <v>20.010000000000005</v>
      </c>
      <c r="H61" s="390">
        <v>12.750000000000007</v>
      </c>
      <c r="I61" s="390">
        <v>7.2599999999999989</v>
      </c>
      <c r="J61" s="104"/>
      <c r="K61" s="104"/>
      <c r="L61" s="104"/>
    </row>
    <row r="62" spans="1:12" s="105" customFormat="1" ht="14.25" customHeight="1">
      <c r="A62" s="238">
        <v>2025</v>
      </c>
      <c r="B62" s="272" t="s">
        <v>231</v>
      </c>
      <c r="C62" s="388">
        <f t="shared" ref="C62" si="18">D62+G62</f>
        <v>42.177</v>
      </c>
      <c r="D62" s="388">
        <f t="shared" ref="D62" si="19">E62+F62</f>
        <v>22.719000000000001</v>
      </c>
      <c r="E62" s="520">
        <v>3.1949999999999998</v>
      </c>
      <c r="F62" s="520">
        <v>19.524000000000001</v>
      </c>
      <c r="G62" s="388">
        <f t="shared" si="5"/>
        <v>19.457999999999998</v>
      </c>
      <c r="H62" s="388">
        <v>16.402999999999999</v>
      </c>
      <c r="I62" s="388">
        <v>3.0550000000000002</v>
      </c>
      <c r="J62" s="104"/>
      <c r="K62" s="104"/>
      <c r="L62" s="104"/>
    </row>
    <row r="63" spans="1:12" s="105" customFormat="1" ht="14.25" customHeight="1">
      <c r="A63" s="239"/>
      <c r="B63" s="273" t="s">
        <v>232</v>
      </c>
      <c r="C63" s="386">
        <f t="shared" ref="C63" si="20">D63+G63</f>
        <v>29.854999999999997</v>
      </c>
      <c r="D63" s="386">
        <f t="shared" ref="D63" si="21">E63+F63</f>
        <v>13.06</v>
      </c>
      <c r="E63" s="521">
        <v>5.1029999999999998</v>
      </c>
      <c r="F63" s="521">
        <v>7.9570000000000007</v>
      </c>
      <c r="G63" s="386">
        <f t="shared" si="5"/>
        <v>16.794999999999998</v>
      </c>
      <c r="H63" s="386">
        <v>14.391</v>
      </c>
      <c r="I63" s="386">
        <v>2.4039999999999995</v>
      </c>
      <c r="J63" s="104"/>
      <c r="K63" s="104"/>
      <c r="L63" s="104"/>
    </row>
    <row r="64" spans="1:12" s="105" customFormat="1" ht="14.25" customHeight="1">
      <c r="A64" s="239"/>
      <c r="B64" s="273" t="s">
        <v>233</v>
      </c>
      <c r="C64" s="386">
        <f t="shared" ref="C64" si="22">D64+G64</f>
        <v>50.186999999999998</v>
      </c>
      <c r="D64" s="386">
        <f t="shared" ref="D64" si="23">E64+F64</f>
        <v>30.687999999999999</v>
      </c>
      <c r="E64" s="521">
        <v>14.552</v>
      </c>
      <c r="F64" s="521">
        <v>16.135999999999999</v>
      </c>
      <c r="G64" s="386">
        <f t="shared" si="5"/>
        <v>19.498999999999999</v>
      </c>
      <c r="H64" s="386">
        <v>18.417999999999999</v>
      </c>
      <c r="I64" s="386">
        <v>1.081</v>
      </c>
      <c r="J64" s="104"/>
      <c r="K64" s="104"/>
      <c r="L64" s="104"/>
    </row>
    <row r="65" spans="1:12" s="105" customFormat="1" ht="14.25" customHeight="1">
      <c r="A65" s="240"/>
      <c r="B65" s="274" t="s">
        <v>234</v>
      </c>
      <c r="C65" s="390">
        <f t="shared" ref="C65" si="24">D65+G65</f>
        <v>27.794</v>
      </c>
      <c r="D65" s="390">
        <f t="shared" ref="D65" si="25">E65+F65</f>
        <v>20.555</v>
      </c>
      <c r="E65" s="522">
        <v>3.4359999999999999</v>
      </c>
      <c r="F65" s="522">
        <v>17.119</v>
      </c>
      <c r="G65" s="390">
        <f t="shared" si="5"/>
        <v>7.2389999999999999</v>
      </c>
      <c r="H65" s="390">
        <v>0.55400000000000005</v>
      </c>
      <c r="I65" s="390">
        <v>6.6849999999999996</v>
      </c>
      <c r="J65" s="104"/>
      <c r="K65" s="104"/>
      <c r="L65" s="104"/>
    </row>
    <row r="66" spans="1:12" s="105" customFormat="1" ht="14.25" customHeight="1">
      <c r="A66" s="675">
        <v>2026</v>
      </c>
      <c r="B66" s="676" t="s">
        <v>231</v>
      </c>
      <c r="C66" s="682">
        <f t="shared" ref="C66" si="26">D66+G66</f>
        <v>34.326999999999998</v>
      </c>
      <c r="D66" s="682">
        <f t="shared" ref="D66" si="27">E66+F66</f>
        <v>20.957999999999998</v>
      </c>
      <c r="E66" s="683">
        <v>3.7869999999999999</v>
      </c>
      <c r="F66" s="683">
        <v>17.170999999999999</v>
      </c>
      <c r="G66" s="682">
        <f t="shared" si="5"/>
        <v>13.369</v>
      </c>
      <c r="H66" s="682">
        <v>11.629</v>
      </c>
      <c r="I66" s="682">
        <v>1.74</v>
      </c>
      <c r="J66" s="104"/>
      <c r="K66" s="104"/>
      <c r="L66" s="104"/>
    </row>
    <row r="67" spans="1:12" s="105" customFormat="1">
      <c r="C67" s="104"/>
      <c r="D67" s="104"/>
      <c r="E67" s="104"/>
      <c r="F67" s="104"/>
      <c r="G67" s="104"/>
      <c r="H67" s="104"/>
      <c r="I67" s="104"/>
    </row>
    <row r="68" spans="1:12">
      <c r="A68" s="171" t="s">
        <v>195</v>
      </c>
      <c r="B68" s="161"/>
      <c r="C68" s="161"/>
      <c r="H68" s="81"/>
    </row>
    <row r="69" spans="1:12">
      <c r="A69" s="161"/>
      <c r="B69" s="161"/>
      <c r="C69" s="161"/>
    </row>
    <row r="70" spans="1:12">
      <c r="A70" s="161" t="s">
        <v>119</v>
      </c>
      <c r="B70" s="161"/>
      <c r="C70" s="161"/>
      <c r="E70" s="87"/>
    </row>
    <row r="71" spans="1:12">
      <c r="A71" s="161" t="s">
        <v>283</v>
      </c>
      <c r="B71" s="161"/>
      <c r="C71" s="161"/>
      <c r="E71" s="87"/>
    </row>
    <row r="72" spans="1:12">
      <c r="A72" s="161" t="s">
        <v>284</v>
      </c>
      <c r="B72" s="161"/>
      <c r="C72" s="161"/>
      <c r="E72" s="87"/>
    </row>
    <row r="73" spans="1:12">
      <c r="A73" s="161" t="s">
        <v>285</v>
      </c>
    </row>
  </sheetData>
  <sheetProtection sheet="1" formatCells="0" insertColumns="0" insertRows="0" deleteColumns="0" deleteRows="0"/>
  <mergeCells count="7">
    <mergeCell ref="A1:F1"/>
    <mergeCell ref="A2:I2"/>
    <mergeCell ref="A3:B5"/>
    <mergeCell ref="C3:I3"/>
    <mergeCell ref="C4:C5"/>
    <mergeCell ref="D4:F4"/>
    <mergeCell ref="G4:I4"/>
  </mergeCells>
  <printOptions horizontalCentere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showGridLines="0" topLeftCell="A3" zoomScaleNormal="100" workbookViewId="0">
      <selection activeCell="B14" sqref="B14"/>
    </sheetView>
  </sheetViews>
  <sheetFormatPr defaultColWidth="8.81640625" defaultRowHeight="13"/>
  <cols>
    <col min="1" max="1" width="32.453125" style="144" customWidth="1"/>
    <col min="2" max="2" width="137.81640625" style="138" customWidth="1"/>
    <col min="3" max="3" width="136.1796875" style="91" customWidth="1"/>
    <col min="4" max="16384" width="8.81640625" style="91"/>
  </cols>
  <sheetData>
    <row r="1" spans="1:2" ht="16.5">
      <c r="A1" s="730" t="s">
        <v>1</v>
      </c>
      <c r="B1" s="731"/>
    </row>
    <row r="2" spans="1:2" ht="22.5">
      <c r="A2" s="149" t="s">
        <v>36</v>
      </c>
      <c r="B2" s="139"/>
    </row>
    <row r="3" spans="1:2" ht="15" customHeight="1">
      <c r="A3" s="145" t="s">
        <v>37</v>
      </c>
      <c r="B3" s="146" t="s">
        <v>38</v>
      </c>
    </row>
    <row r="4" spans="1:2" ht="22.5">
      <c r="A4" s="150" t="s">
        <v>39</v>
      </c>
      <c r="B4" s="141"/>
    </row>
    <row r="5" spans="1:2" ht="14.25" customHeight="1">
      <c r="A5" s="147" t="s">
        <v>40</v>
      </c>
      <c r="B5" s="148" t="s">
        <v>41</v>
      </c>
    </row>
    <row r="6" spans="1:2" ht="34.5">
      <c r="A6" s="147" t="s">
        <v>42</v>
      </c>
      <c r="B6" s="148" t="s">
        <v>43</v>
      </c>
    </row>
    <row r="7" spans="1:2" ht="22.5">
      <c r="A7" s="149" t="s">
        <v>44</v>
      </c>
      <c r="B7" s="140"/>
    </row>
    <row r="8" spans="1:2" ht="23">
      <c r="A8" s="147" t="s">
        <v>45</v>
      </c>
      <c r="B8" s="148" t="s">
        <v>46</v>
      </c>
    </row>
    <row r="9" spans="1:2">
      <c r="A9" s="145" t="s">
        <v>47</v>
      </c>
      <c r="B9" s="146" t="s">
        <v>48</v>
      </c>
    </row>
    <row r="10" spans="1:2" ht="22.5">
      <c r="A10" s="150" t="s">
        <v>49</v>
      </c>
      <c r="B10" s="141"/>
    </row>
    <row r="11" spans="1:2">
      <c r="A11" s="145" t="s">
        <v>50</v>
      </c>
      <c r="B11" s="146" t="s">
        <v>51</v>
      </c>
    </row>
    <row r="12" spans="1:2" ht="22.5">
      <c r="A12" s="149" t="s">
        <v>52</v>
      </c>
      <c r="B12" s="140"/>
    </row>
    <row r="13" spans="1:2" ht="23">
      <c r="A13" s="147" t="s">
        <v>53</v>
      </c>
      <c r="B13" s="148" t="s">
        <v>54</v>
      </c>
    </row>
    <row r="14" spans="1:2" ht="23">
      <c r="A14" s="145" t="s">
        <v>55</v>
      </c>
      <c r="B14" s="146" t="s">
        <v>56</v>
      </c>
    </row>
    <row r="15" spans="1:2" ht="22.5">
      <c r="A15" s="151" t="s">
        <v>57</v>
      </c>
      <c r="B15" s="140"/>
    </row>
    <row r="16" spans="1:2">
      <c r="A16" s="145" t="s">
        <v>58</v>
      </c>
      <c r="B16" s="146" t="s">
        <v>59</v>
      </c>
    </row>
    <row r="17" spans="1:2" ht="22.5">
      <c r="A17" s="149" t="s">
        <v>60</v>
      </c>
      <c r="B17" s="140"/>
    </row>
    <row r="18" spans="1:2">
      <c r="A18" s="147" t="s">
        <v>61</v>
      </c>
      <c r="B18" s="148" t="s">
        <v>62</v>
      </c>
    </row>
    <row r="19" spans="1:2" ht="12.65" customHeight="1">
      <c r="A19" s="147" t="s">
        <v>63</v>
      </c>
      <c r="B19" s="148" t="s">
        <v>64</v>
      </c>
    </row>
    <row r="20" spans="1:2">
      <c r="A20" s="147" t="s">
        <v>65</v>
      </c>
      <c r="B20" s="148" t="s">
        <v>66</v>
      </c>
    </row>
    <row r="21" spans="1:2" ht="14.15" customHeight="1">
      <c r="A21" s="145" t="s">
        <v>67</v>
      </c>
      <c r="B21" s="146" t="s">
        <v>68</v>
      </c>
    </row>
    <row r="22" spans="1:2" ht="22.5">
      <c r="A22" s="149" t="s">
        <v>69</v>
      </c>
      <c r="B22" s="140"/>
    </row>
    <row r="23" spans="1:2">
      <c r="A23" s="147" t="s">
        <v>70</v>
      </c>
      <c r="B23" s="148" t="s">
        <v>71</v>
      </c>
    </row>
    <row r="24" spans="1:2" ht="13.5" customHeight="1">
      <c r="A24" s="147" t="s">
        <v>72</v>
      </c>
      <c r="B24" s="148" t="s">
        <v>73</v>
      </c>
    </row>
    <row r="25" spans="1:2" ht="16" customHeight="1">
      <c r="A25" s="145" t="s">
        <v>74</v>
      </c>
      <c r="B25" s="146" t="s">
        <v>75</v>
      </c>
    </row>
    <row r="26" spans="1:2" ht="22.5">
      <c r="A26" s="149" t="s">
        <v>76</v>
      </c>
      <c r="B26" s="140"/>
    </row>
    <row r="27" spans="1:2">
      <c r="A27" s="145" t="s">
        <v>77</v>
      </c>
      <c r="B27" s="146" t="s">
        <v>78</v>
      </c>
    </row>
    <row r="28" spans="1:2" ht="22.5">
      <c r="A28" s="149" t="s">
        <v>79</v>
      </c>
      <c r="B28" s="140"/>
    </row>
    <row r="29" spans="1:2">
      <c r="A29" s="147" t="s">
        <v>80</v>
      </c>
      <c r="B29" s="148" t="s">
        <v>81</v>
      </c>
    </row>
    <row r="30" spans="1:2">
      <c r="A30" s="145" t="s">
        <v>82</v>
      </c>
      <c r="B30" s="146" t="s">
        <v>83</v>
      </c>
    </row>
    <row r="31" spans="1:2" ht="22.5">
      <c r="A31" s="149" t="s">
        <v>84</v>
      </c>
      <c r="B31" s="140"/>
    </row>
    <row r="32" spans="1:2" ht="46">
      <c r="A32" s="145" t="s">
        <v>85</v>
      </c>
      <c r="B32" s="146" t="s">
        <v>86</v>
      </c>
    </row>
    <row r="33" spans="1:3" ht="22.5">
      <c r="A33" s="149" t="s">
        <v>87</v>
      </c>
      <c r="B33" s="140"/>
    </row>
    <row r="34" spans="1:3" ht="28" customHeight="1">
      <c r="A34" s="147" t="s">
        <v>88</v>
      </c>
      <c r="B34" s="148" t="s">
        <v>89</v>
      </c>
    </row>
    <row r="35" spans="1:3" ht="15" customHeight="1">
      <c r="A35" s="147" t="s">
        <v>90</v>
      </c>
      <c r="B35" s="148" t="s">
        <v>91</v>
      </c>
    </row>
    <row r="36" spans="1:3">
      <c r="A36" s="145" t="s">
        <v>92</v>
      </c>
      <c r="B36" s="146" t="s">
        <v>93</v>
      </c>
    </row>
    <row r="37" spans="1:3" ht="15" customHeight="1"/>
    <row r="38" spans="1:3">
      <c r="A38" s="195" t="s">
        <v>94</v>
      </c>
      <c r="B38" s="142"/>
    </row>
    <row r="39" spans="1:3" ht="15" customHeight="1">
      <c r="A39" s="195" t="s">
        <v>95</v>
      </c>
      <c r="B39" s="143"/>
      <c r="C39" s="137"/>
    </row>
    <row r="40" spans="1:3" ht="15" customHeight="1">
      <c r="B40" s="136"/>
      <c r="C40" s="135"/>
    </row>
    <row r="41" spans="1:3">
      <c r="B41" s="91"/>
    </row>
    <row r="42" spans="1:3">
      <c r="B42" s="91"/>
    </row>
    <row r="47" spans="1:3">
      <c r="B47" s="136"/>
      <c r="C47" s="137"/>
    </row>
  </sheetData>
  <mergeCells count="1">
    <mergeCell ref="A1:B1"/>
  </mergeCells>
  <pageMargins left="0.36" right="0.7" top="0.75" bottom="0.75" header="0.3" footer="0.3"/>
  <pageSetup paperSize="9" scale="6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52"/>
  <sheetViews>
    <sheetView zoomScaleNormal="100" workbookViewId="0">
      <pane ySplit="4" topLeftCell="A36" activePane="bottomLeft" state="frozen"/>
      <selection activeCell="J154" sqref="J154"/>
      <selection pane="bottomLeft" activeCell="C48" sqref="C48"/>
    </sheetView>
  </sheetViews>
  <sheetFormatPr defaultColWidth="9.1796875" defaultRowHeight="13"/>
  <cols>
    <col min="1" max="1" width="7.54296875" style="65" customWidth="1"/>
    <col min="2" max="2" width="8.81640625" style="65" customWidth="1"/>
    <col min="3" max="3" width="13.81640625" style="65" customWidth="1"/>
    <col min="4" max="4" width="15.81640625" style="65" customWidth="1"/>
    <col min="5" max="5" width="16.1796875" style="65" customWidth="1"/>
    <col min="6" max="6" width="14.81640625" style="65" customWidth="1"/>
    <col min="7" max="8" width="13.81640625" style="65" customWidth="1"/>
    <col min="9" max="16384" width="9.1796875" style="65"/>
  </cols>
  <sheetData>
    <row r="1" spans="1:8" ht="15.5">
      <c r="A1" s="523" t="s">
        <v>286</v>
      </c>
    </row>
    <row r="2" spans="1:8" s="105" customFormat="1" ht="14">
      <c r="A2" s="760" t="s">
        <v>287</v>
      </c>
      <c r="B2" s="760"/>
      <c r="C2" s="760"/>
      <c r="D2" s="760"/>
      <c r="E2" s="760"/>
      <c r="F2" s="760"/>
      <c r="G2" s="760"/>
      <c r="H2" s="760"/>
    </row>
    <row r="3" spans="1:8" s="106" customFormat="1" ht="24.5" customHeight="1">
      <c r="A3" s="804" t="s">
        <v>98</v>
      </c>
      <c r="B3" s="805"/>
      <c r="C3" s="808" t="s">
        <v>288</v>
      </c>
      <c r="D3" s="809"/>
      <c r="E3" s="809"/>
      <c r="F3" s="809"/>
      <c r="G3" s="810"/>
      <c r="H3" s="811"/>
    </row>
    <row r="4" spans="1:8" s="106" customFormat="1" ht="25.5" customHeight="1">
      <c r="A4" s="806"/>
      <c r="B4" s="807"/>
      <c r="C4" s="524" t="s">
        <v>102</v>
      </c>
      <c r="D4" s="525" t="s">
        <v>289</v>
      </c>
      <c r="E4" s="525" t="s">
        <v>290</v>
      </c>
      <c r="F4" s="525" t="s">
        <v>291</v>
      </c>
      <c r="G4" s="525" t="s">
        <v>292</v>
      </c>
      <c r="H4" s="525" t="s">
        <v>293</v>
      </c>
    </row>
    <row r="5" spans="1:8" s="105" customFormat="1" ht="19.5" customHeight="1">
      <c r="A5" s="238">
        <v>2015</v>
      </c>
      <c r="B5" s="247" t="s">
        <v>231</v>
      </c>
      <c r="C5" s="526">
        <f>D5+E5+F5+G5+H5</f>
        <v>131</v>
      </c>
      <c r="D5" s="526">
        <v>44</v>
      </c>
      <c r="E5" s="526">
        <v>24</v>
      </c>
      <c r="F5" s="526">
        <v>25</v>
      </c>
      <c r="G5" s="526">
        <v>38</v>
      </c>
      <c r="H5" s="526">
        <v>0</v>
      </c>
    </row>
    <row r="6" spans="1:8" s="105" customFormat="1" ht="14">
      <c r="A6" s="239"/>
      <c r="B6" s="251" t="s">
        <v>232</v>
      </c>
      <c r="C6" s="527">
        <f t="shared" ref="C6:C20" si="0">D6+E6+F6+G6+H6</f>
        <v>153</v>
      </c>
      <c r="D6" s="527">
        <v>55</v>
      </c>
      <c r="E6" s="527">
        <v>33</v>
      </c>
      <c r="F6" s="527">
        <v>23</v>
      </c>
      <c r="G6" s="527">
        <v>38</v>
      </c>
      <c r="H6" s="527">
        <v>4</v>
      </c>
    </row>
    <row r="7" spans="1:8" s="105" customFormat="1" ht="14">
      <c r="A7" s="239"/>
      <c r="B7" s="251" t="s">
        <v>233</v>
      </c>
      <c r="C7" s="527">
        <f t="shared" si="0"/>
        <v>72</v>
      </c>
      <c r="D7" s="527">
        <v>31</v>
      </c>
      <c r="E7" s="527">
        <v>10</v>
      </c>
      <c r="F7" s="527">
        <v>18</v>
      </c>
      <c r="G7" s="527">
        <v>9</v>
      </c>
      <c r="H7" s="527">
        <v>4</v>
      </c>
    </row>
    <row r="8" spans="1:8" s="105" customFormat="1" ht="14">
      <c r="A8" s="240"/>
      <c r="B8" s="252" t="s">
        <v>234</v>
      </c>
      <c r="C8" s="528">
        <f t="shared" si="0"/>
        <v>42</v>
      </c>
      <c r="D8" s="528">
        <v>17</v>
      </c>
      <c r="E8" s="528">
        <v>6</v>
      </c>
      <c r="F8" s="528">
        <v>10</v>
      </c>
      <c r="G8" s="528">
        <v>6</v>
      </c>
      <c r="H8" s="528">
        <v>3</v>
      </c>
    </row>
    <row r="9" spans="1:8" s="105" customFormat="1" ht="14">
      <c r="A9" s="239">
        <v>2016</v>
      </c>
      <c r="B9" s="247" t="s">
        <v>231</v>
      </c>
      <c r="C9" s="527">
        <f t="shared" si="0"/>
        <v>97</v>
      </c>
      <c r="D9" s="526">
        <v>41</v>
      </c>
      <c r="E9" s="526">
        <v>27</v>
      </c>
      <c r="F9" s="526">
        <v>21</v>
      </c>
      <c r="G9" s="527">
        <v>6</v>
      </c>
      <c r="H9" s="526">
        <v>2</v>
      </c>
    </row>
    <row r="10" spans="1:8" s="105" customFormat="1" ht="14">
      <c r="A10" s="239"/>
      <c r="B10" s="251" t="s">
        <v>232</v>
      </c>
      <c r="C10" s="527">
        <f t="shared" si="0"/>
        <v>75</v>
      </c>
      <c r="D10" s="527">
        <v>40</v>
      </c>
      <c r="E10" s="527">
        <v>14</v>
      </c>
      <c r="F10" s="527">
        <v>16</v>
      </c>
      <c r="G10" s="527">
        <v>3</v>
      </c>
      <c r="H10" s="527">
        <v>2</v>
      </c>
    </row>
    <row r="11" spans="1:8" s="105" customFormat="1" ht="14">
      <c r="A11" s="239"/>
      <c r="B11" s="251" t="s">
        <v>233</v>
      </c>
      <c r="C11" s="527">
        <f t="shared" si="0"/>
        <v>100</v>
      </c>
      <c r="D11" s="527">
        <v>55</v>
      </c>
      <c r="E11" s="527">
        <v>23</v>
      </c>
      <c r="F11" s="527">
        <v>9</v>
      </c>
      <c r="G11" s="527">
        <v>7</v>
      </c>
      <c r="H11" s="527">
        <v>6</v>
      </c>
    </row>
    <row r="12" spans="1:8" s="105" customFormat="1" ht="14">
      <c r="A12" s="240"/>
      <c r="B12" s="252" t="s">
        <v>234</v>
      </c>
      <c r="C12" s="528">
        <f t="shared" si="0"/>
        <v>106</v>
      </c>
      <c r="D12" s="528">
        <v>46</v>
      </c>
      <c r="E12" s="528">
        <v>22</v>
      </c>
      <c r="F12" s="528">
        <v>21</v>
      </c>
      <c r="G12" s="528">
        <v>11</v>
      </c>
      <c r="H12" s="528">
        <v>6</v>
      </c>
    </row>
    <row r="13" spans="1:8" s="105" customFormat="1" ht="14">
      <c r="A13" s="239">
        <v>2017</v>
      </c>
      <c r="B13" s="247" t="s">
        <v>231</v>
      </c>
      <c r="C13" s="527">
        <f t="shared" si="0"/>
        <v>84</v>
      </c>
      <c r="D13" s="527">
        <v>36</v>
      </c>
      <c r="E13" s="527">
        <v>18</v>
      </c>
      <c r="F13" s="527">
        <v>23</v>
      </c>
      <c r="G13" s="527">
        <v>6</v>
      </c>
      <c r="H13" s="527">
        <v>1</v>
      </c>
    </row>
    <row r="14" spans="1:8" s="105" customFormat="1" ht="14">
      <c r="A14" s="239"/>
      <c r="B14" s="251" t="s">
        <v>232</v>
      </c>
      <c r="C14" s="527">
        <f t="shared" si="0"/>
        <v>72</v>
      </c>
      <c r="D14" s="527">
        <v>39</v>
      </c>
      <c r="E14" s="527">
        <v>11</v>
      </c>
      <c r="F14" s="527">
        <v>11</v>
      </c>
      <c r="G14" s="527">
        <v>10</v>
      </c>
      <c r="H14" s="527">
        <v>1</v>
      </c>
    </row>
    <row r="15" spans="1:8" s="105" customFormat="1" ht="14">
      <c r="A15" s="239"/>
      <c r="B15" s="251" t="s">
        <v>233</v>
      </c>
      <c r="C15" s="527">
        <f t="shared" si="0"/>
        <v>104</v>
      </c>
      <c r="D15" s="527">
        <v>48</v>
      </c>
      <c r="E15" s="527">
        <v>9</v>
      </c>
      <c r="F15" s="527">
        <v>30</v>
      </c>
      <c r="G15" s="527">
        <v>14</v>
      </c>
      <c r="H15" s="527">
        <v>3</v>
      </c>
    </row>
    <row r="16" spans="1:8" s="105" customFormat="1" ht="14">
      <c r="A16" s="240"/>
      <c r="B16" s="252" t="s">
        <v>234</v>
      </c>
      <c r="C16" s="528">
        <f t="shared" si="0"/>
        <v>97</v>
      </c>
      <c r="D16" s="528">
        <v>58</v>
      </c>
      <c r="E16" s="528">
        <v>10</v>
      </c>
      <c r="F16" s="528">
        <v>20</v>
      </c>
      <c r="G16" s="528">
        <v>8</v>
      </c>
      <c r="H16" s="528">
        <v>1</v>
      </c>
    </row>
    <row r="17" spans="1:9" s="105" customFormat="1" ht="14">
      <c r="A17" s="238">
        <v>2018</v>
      </c>
      <c r="B17" s="272" t="s">
        <v>231</v>
      </c>
      <c r="C17" s="526">
        <f t="shared" si="0"/>
        <v>92</v>
      </c>
      <c r="D17" s="526">
        <v>47</v>
      </c>
      <c r="E17" s="526">
        <v>15</v>
      </c>
      <c r="F17" s="526">
        <v>20</v>
      </c>
      <c r="G17" s="526">
        <v>6</v>
      </c>
      <c r="H17" s="526">
        <v>4</v>
      </c>
    </row>
    <row r="18" spans="1:9" s="105" customFormat="1" ht="14">
      <c r="A18" s="239"/>
      <c r="B18" s="273" t="s">
        <v>232</v>
      </c>
      <c r="C18" s="527">
        <f t="shared" si="0"/>
        <v>84</v>
      </c>
      <c r="D18" s="527">
        <v>43</v>
      </c>
      <c r="E18" s="527">
        <v>18</v>
      </c>
      <c r="F18" s="527">
        <v>18</v>
      </c>
      <c r="G18" s="527">
        <v>4</v>
      </c>
      <c r="H18" s="527">
        <v>1</v>
      </c>
    </row>
    <row r="19" spans="1:9" s="105" customFormat="1" ht="14">
      <c r="A19" s="239"/>
      <c r="B19" s="273" t="s">
        <v>233</v>
      </c>
      <c r="C19" s="527">
        <f t="shared" si="0"/>
        <v>110</v>
      </c>
      <c r="D19" s="527">
        <v>63</v>
      </c>
      <c r="E19" s="527">
        <v>25</v>
      </c>
      <c r="F19" s="527">
        <v>18</v>
      </c>
      <c r="G19" s="527">
        <v>3</v>
      </c>
      <c r="H19" s="527">
        <v>1</v>
      </c>
    </row>
    <row r="20" spans="1:9" s="105" customFormat="1" ht="14">
      <c r="A20" s="240"/>
      <c r="B20" s="274" t="s">
        <v>234</v>
      </c>
      <c r="C20" s="528">
        <f t="shared" si="0"/>
        <v>129</v>
      </c>
      <c r="D20" s="528">
        <v>73</v>
      </c>
      <c r="E20" s="528">
        <v>20</v>
      </c>
      <c r="F20" s="528">
        <v>25</v>
      </c>
      <c r="G20" s="528">
        <v>10</v>
      </c>
      <c r="H20" s="529">
        <v>1</v>
      </c>
    </row>
    <row r="21" spans="1:9" s="105" customFormat="1" ht="14">
      <c r="A21" s="238">
        <v>2019</v>
      </c>
      <c r="B21" s="272" t="s">
        <v>231</v>
      </c>
      <c r="C21" s="526">
        <f>D21+E21+F21+G21</f>
        <v>115</v>
      </c>
      <c r="D21" s="526">
        <v>61</v>
      </c>
      <c r="E21" s="526">
        <v>23</v>
      </c>
      <c r="F21" s="526">
        <v>25</v>
      </c>
      <c r="G21" s="526">
        <v>6</v>
      </c>
      <c r="H21" s="526">
        <v>0</v>
      </c>
    </row>
    <row r="22" spans="1:9" s="105" customFormat="1" ht="14">
      <c r="A22" s="239"/>
      <c r="B22" s="273" t="s">
        <v>232</v>
      </c>
      <c r="C22" s="527">
        <f>D22+E22+F22+G22+H22</f>
        <v>123</v>
      </c>
      <c r="D22" s="527">
        <v>61</v>
      </c>
      <c r="E22" s="527">
        <v>24</v>
      </c>
      <c r="F22" s="527">
        <v>30</v>
      </c>
      <c r="G22" s="527">
        <v>6</v>
      </c>
      <c r="H22" s="527">
        <v>2</v>
      </c>
    </row>
    <row r="23" spans="1:9" s="105" customFormat="1" ht="14">
      <c r="A23" s="239"/>
      <c r="B23" s="273" t="s">
        <v>233</v>
      </c>
      <c r="C23" s="530">
        <f>D23+E23+F23+G23+H23</f>
        <v>107</v>
      </c>
      <c r="D23" s="530">
        <v>58</v>
      </c>
      <c r="E23" s="530">
        <v>18</v>
      </c>
      <c r="F23" s="527">
        <v>20</v>
      </c>
      <c r="G23" s="530">
        <v>10</v>
      </c>
      <c r="H23" s="527">
        <v>1</v>
      </c>
      <c r="I23" s="112"/>
    </row>
    <row r="24" spans="1:9" s="105" customFormat="1" ht="14">
      <c r="A24" s="240"/>
      <c r="B24" s="274" t="s">
        <v>234</v>
      </c>
      <c r="C24" s="528">
        <f>D24+E24+F24+G24</f>
        <v>111</v>
      </c>
      <c r="D24" s="528">
        <v>50</v>
      </c>
      <c r="E24" s="528">
        <v>27</v>
      </c>
      <c r="F24" s="528">
        <v>21</v>
      </c>
      <c r="G24" s="528">
        <v>13</v>
      </c>
      <c r="H24" s="528">
        <v>0</v>
      </c>
    </row>
    <row r="25" spans="1:9" s="105" customFormat="1" ht="14">
      <c r="A25" s="238">
        <v>2020</v>
      </c>
      <c r="B25" s="272" t="s">
        <v>231</v>
      </c>
      <c r="C25" s="526">
        <f>D25+E25+F25+G25</f>
        <v>76</v>
      </c>
      <c r="D25" s="526">
        <v>23</v>
      </c>
      <c r="E25" s="526">
        <v>25</v>
      </c>
      <c r="F25" s="526">
        <v>14</v>
      </c>
      <c r="G25" s="526">
        <v>14</v>
      </c>
      <c r="H25" s="526">
        <v>0</v>
      </c>
    </row>
    <row r="26" spans="1:9" s="105" customFormat="1" ht="14">
      <c r="A26" s="239"/>
      <c r="B26" s="273" t="s">
        <v>232</v>
      </c>
      <c r="C26" s="527">
        <f t="shared" ref="C26:C32" si="1">D26+E26+F26+G26+H26</f>
        <v>115</v>
      </c>
      <c r="D26" s="527">
        <v>50</v>
      </c>
      <c r="E26" s="527">
        <v>30</v>
      </c>
      <c r="F26" s="527">
        <v>19</v>
      </c>
      <c r="G26" s="527">
        <v>12</v>
      </c>
      <c r="H26" s="527">
        <v>4</v>
      </c>
    </row>
    <row r="27" spans="1:9" s="105" customFormat="1" ht="14">
      <c r="A27" s="239"/>
      <c r="B27" s="273" t="s">
        <v>233</v>
      </c>
      <c r="C27" s="527">
        <f t="shared" si="1"/>
        <v>182</v>
      </c>
      <c r="D27" s="527">
        <v>98</v>
      </c>
      <c r="E27" s="527">
        <v>35</v>
      </c>
      <c r="F27" s="527">
        <v>31</v>
      </c>
      <c r="G27" s="527">
        <v>11</v>
      </c>
      <c r="H27" s="527">
        <v>7</v>
      </c>
    </row>
    <row r="28" spans="1:9" s="105" customFormat="1" ht="14">
      <c r="A28" s="240"/>
      <c r="B28" s="274" t="s">
        <v>234</v>
      </c>
      <c r="C28" s="528">
        <f t="shared" si="1"/>
        <v>131</v>
      </c>
      <c r="D28" s="528">
        <v>70</v>
      </c>
      <c r="E28" s="528">
        <v>26</v>
      </c>
      <c r="F28" s="528">
        <v>24</v>
      </c>
      <c r="G28" s="528">
        <v>5</v>
      </c>
      <c r="H28" s="528">
        <v>6</v>
      </c>
    </row>
    <row r="29" spans="1:9" s="105" customFormat="1" ht="14">
      <c r="A29" s="238">
        <v>2021</v>
      </c>
      <c r="B29" s="272" t="s">
        <v>231</v>
      </c>
      <c r="C29" s="526">
        <f t="shared" si="1"/>
        <v>112</v>
      </c>
      <c r="D29" s="526">
        <v>68</v>
      </c>
      <c r="E29" s="526">
        <v>23</v>
      </c>
      <c r="F29" s="526">
        <v>9</v>
      </c>
      <c r="G29" s="526">
        <v>9</v>
      </c>
      <c r="H29" s="526">
        <v>3</v>
      </c>
    </row>
    <row r="30" spans="1:9" s="105" customFormat="1" ht="14">
      <c r="A30" s="239"/>
      <c r="B30" s="273" t="s">
        <v>232</v>
      </c>
      <c r="C30" s="530">
        <f t="shared" si="1"/>
        <v>105</v>
      </c>
      <c r="D30" s="530">
        <v>69</v>
      </c>
      <c r="E30" s="530">
        <v>21</v>
      </c>
      <c r="F30" s="531">
        <v>7</v>
      </c>
      <c r="G30" s="531">
        <v>5</v>
      </c>
      <c r="H30" s="527">
        <v>3</v>
      </c>
    </row>
    <row r="31" spans="1:9" s="105" customFormat="1" ht="14">
      <c r="A31" s="239"/>
      <c r="B31" s="273" t="s">
        <v>233</v>
      </c>
      <c r="C31" s="530">
        <f t="shared" si="1"/>
        <v>133</v>
      </c>
      <c r="D31" s="530">
        <v>83</v>
      </c>
      <c r="E31" s="531">
        <v>28</v>
      </c>
      <c r="F31" s="531">
        <v>15</v>
      </c>
      <c r="G31" s="530">
        <v>7</v>
      </c>
      <c r="H31" s="527">
        <v>0</v>
      </c>
    </row>
    <row r="32" spans="1:9" s="105" customFormat="1" ht="14">
      <c r="A32" s="240"/>
      <c r="B32" s="274" t="s">
        <v>234</v>
      </c>
      <c r="C32" s="532">
        <f t="shared" si="1"/>
        <v>129</v>
      </c>
      <c r="D32" s="532">
        <v>81</v>
      </c>
      <c r="E32" s="533">
        <v>15</v>
      </c>
      <c r="F32" s="533">
        <v>24</v>
      </c>
      <c r="G32" s="533">
        <v>7</v>
      </c>
      <c r="H32" s="528">
        <v>2</v>
      </c>
    </row>
    <row r="33" spans="1:8" s="105" customFormat="1" ht="14">
      <c r="A33" s="238">
        <v>2022</v>
      </c>
      <c r="B33" s="272" t="s">
        <v>231</v>
      </c>
      <c r="C33" s="526">
        <f t="shared" ref="C33:C48" si="2">D33+E33+F33+G33+H33</f>
        <v>124</v>
      </c>
      <c r="D33" s="526">
        <v>82</v>
      </c>
      <c r="E33" s="526">
        <v>16</v>
      </c>
      <c r="F33" s="526">
        <v>22</v>
      </c>
      <c r="G33" s="526">
        <v>4</v>
      </c>
      <c r="H33" s="526">
        <v>0</v>
      </c>
    </row>
    <row r="34" spans="1:8" s="105" customFormat="1" ht="14">
      <c r="A34" s="239"/>
      <c r="B34" s="273" t="s">
        <v>232</v>
      </c>
      <c r="C34" s="527">
        <f t="shared" si="2"/>
        <v>130</v>
      </c>
      <c r="D34" s="527">
        <v>71</v>
      </c>
      <c r="E34" s="527">
        <v>24</v>
      </c>
      <c r="F34" s="527">
        <v>25</v>
      </c>
      <c r="G34" s="527">
        <v>7</v>
      </c>
      <c r="H34" s="527">
        <v>3</v>
      </c>
    </row>
    <row r="35" spans="1:8" s="105" customFormat="1" ht="14">
      <c r="A35" s="239"/>
      <c r="B35" s="273" t="s">
        <v>233</v>
      </c>
      <c r="C35" s="527">
        <f t="shared" si="2"/>
        <v>135</v>
      </c>
      <c r="D35" s="527">
        <v>79</v>
      </c>
      <c r="E35" s="527">
        <v>23</v>
      </c>
      <c r="F35" s="527">
        <v>31</v>
      </c>
      <c r="G35" s="527">
        <v>2</v>
      </c>
      <c r="H35" s="527">
        <v>0</v>
      </c>
    </row>
    <row r="36" spans="1:8" s="105" customFormat="1" ht="14">
      <c r="A36" s="240"/>
      <c r="B36" s="274" t="s">
        <v>234</v>
      </c>
      <c r="C36" s="528">
        <f t="shared" si="2"/>
        <v>135</v>
      </c>
      <c r="D36" s="528">
        <v>86</v>
      </c>
      <c r="E36" s="528">
        <v>17</v>
      </c>
      <c r="F36" s="528">
        <v>24</v>
      </c>
      <c r="G36" s="528">
        <v>7</v>
      </c>
      <c r="H36" s="528">
        <v>1</v>
      </c>
    </row>
    <row r="37" spans="1:8" s="105" customFormat="1" ht="14">
      <c r="A37" s="238">
        <v>2023</v>
      </c>
      <c r="B37" s="272" t="s">
        <v>231</v>
      </c>
      <c r="C37" s="526">
        <f t="shared" si="2"/>
        <v>122</v>
      </c>
      <c r="D37" s="526">
        <v>77</v>
      </c>
      <c r="E37" s="526">
        <v>13</v>
      </c>
      <c r="F37" s="526">
        <v>26</v>
      </c>
      <c r="G37" s="526">
        <v>3</v>
      </c>
      <c r="H37" s="526">
        <v>3</v>
      </c>
    </row>
    <row r="38" spans="1:8" s="105" customFormat="1" ht="14">
      <c r="A38" s="239"/>
      <c r="B38" s="273" t="s">
        <v>232</v>
      </c>
      <c r="C38" s="527">
        <f t="shared" si="2"/>
        <v>129</v>
      </c>
      <c r="D38" s="527">
        <v>65</v>
      </c>
      <c r="E38" s="527">
        <v>27</v>
      </c>
      <c r="F38" s="527">
        <v>33</v>
      </c>
      <c r="G38" s="527">
        <v>3</v>
      </c>
      <c r="H38" s="527">
        <v>1</v>
      </c>
    </row>
    <row r="39" spans="1:8" s="105" customFormat="1" ht="14">
      <c r="A39" s="239"/>
      <c r="B39" s="273" t="s">
        <v>233</v>
      </c>
      <c r="C39" s="527">
        <f t="shared" si="2"/>
        <v>100</v>
      </c>
      <c r="D39" s="527">
        <v>59</v>
      </c>
      <c r="E39" s="527">
        <v>20</v>
      </c>
      <c r="F39" s="527">
        <v>18</v>
      </c>
      <c r="G39" s="527">
        <v>3</v>
      </c>
      <c r="H39" s="527">
        <v>0</v>
      </c>
    </row>
    <row r="40" spans="1:8" s="105" customFormat="1" ht="14">
      <c r="A40" s="240"/>
      <c r="B40" s="274" t="s">
        <v>234</v>
      </c>
      <c r="C40" s="528">
        <f t="shared" si="2"/>
        <v>137</v>
      </c>
      <c r="D40" s="528">
        <v>86</v>
      </c>
      <c r="E40" s="528">
        <v>20</v>
      </c>
      <c r="F40" s="528">
        <v>28</v>
      </c>
      <c r="G40" s="528">
        <v>3</v>
      </c>
      <c r="H40" s="528">
        <v>0</v>
      </c>
    </row>
    <row r="41" spans="1:8" s="105" customFormat="1" ht="14">
      <c r="A41" s="238">
        <v>2024</v>
      </c>
      <c r="B41" s="272" t="s">
        <v>231</v>
      </c>
      <c r="C41" s="526">
        <f t="shared" si="2"/>
        <v>81</v>
      </c>
      <c r="D41" s="526">
        <v>45</v>
      </c>
      <c r="E41" s="526">
        <v>14</v>
      </c>
      <c r="F41" s="526">
        <v>20</v>
      </c>
      <c r="G41" s="526">
        <v>2</v>
      </c>
      <c r="H41" s="526">
        <v>0</v>
      </c>
    </row>
    <row r="42" spans="1:8" s="105" customFormat="1" ht="14">
      <c r="A42" s="239"/>
      <c r="B42" s="273" t="s">
        <v>232</v>
      </c>
      <c r="C42" s="527">
        <f t="shared" si="2"/>
        <v>123</v>
      </c>
      <c r="D42" s="527">
        <v>74</v>
      </c>
      <c r="E42" s="527">
        <v>23</v>
      </c>
      <c r="F42" s="527">
        <v>26</v>
      </c>
      <c r="G42" s="527">
        <v>0</v>
      </c>
      <c r="H42" s="527">
        <v>0</v>
      </c>
    </row>
    <row r="43" spans="1:8" s="105" customFormat="1" ht="14">
      <c r="A43" s="239"/>
      <c r="B43" s="273" t="s">
        <v>233</v>
      </c>
      <c r="C43" s="527">
        <f t="shared" si="2"/>
        <v>134</v>
      </c>
      <c r="D43" s="527">
        <v>82</v>
      </c>
      <c r="E43" s="527">
        <v>34</v>
      </c>
      <c r="F43" s="527">
        <v>13</v>
      </c>
      <c r="G43" s="527">
        <v>3</v>
      </c>
      <c r="H43" s="527">
        <v>2</v>
      </c>
    </row>
    <row r="44" spans="1:8" s="105" customFormat="1" ht="14">
      <c r="A44" s="240"/>
      <c r="B44" s="274" t="s">
        <v>234</v>
      </c>
      <c r="C44" s="528">
        <f t="shared" si="2"/>
        <v>147</v>
      </c>
      <c r="D44" s="528">
        <v>78</v>
      </c>
      <c r="E44" s="528">
        <v>33</v>
      </c>
      <c r="F44" s="528">
        <v>29</v>
      </c>
      <c r="G44" s="528">
        <v>6</v>
      </c>
      <c r="H44" s="528">
        <v>1</v>
      </c>
    </row>
    <row r="45" spans="1:8" s="105" customFormat="1" ht="14">
      <c r="A45" s="238">
        <v>2025</v>
      </c>
      <c r="B45" s="272" t="s">
        <v>231</v>
      </c>
      <c r="C45" s="526">
        <f t="shared" si="2"/>
        <v>103</v>
      </c>
      <c r="D45" s="526">
        <v>60</v>
      </c>
      <c r="E45" s="526">
        <v>19</v>
      </c>
      <c r="F45" s="526">
        <v>17</v>
      </c>
      <c r="G45" s="526">
        <v>6</v>
      </c>
      <c r="H45" s="526">
        <v>1</v>
      </c>
    </row>
    <row r="46" spans="1:8" s="105" customFormat="1" ht="14">
      <c r="A46" s="239"/>
      <c r="B46" s="273" t="s">
        <v>232</v>
      </c>
      <c r="C46" s="527">
        <f t="shared" si="2"/>
        <v>146</v>
      </c>
      <c r="D46" s="527">
        <v>88</v>
      </c>
      <c r="E46" s="527">
        <v>27</v>
      </c>
      <c r="F46" s="527">
        <v>18</v>
      </c>
      <c r="G46" s="527">
        <v>12</v>
      </c>
      <c r="H46" s="527">
        <v>1</v>
      </c>
    </row>
    <row r="47" spans="1:8" s="105" customFormat="1" ht="14">
      <c r="A47" s="239"/>
      <c r="B47" s="273" t="s">
        <v>233</v>
      </c>
      <c r="C47" s="527">
        <f t="shared" si="2"/>
        <v>187</v>
      </c>
      <c r="D47" s="527">
        <v>125</v>
      </c>
      <c r="E47" s="527">
        <v>17</v>
      </c>
      <c r="F47" s="527">
        <v>33</v>
      </c>
      <c r="G47" s="527">
        <v>11</v>
      </c>
      <c r="H47" s="527">
        <v>1</v>
      </c>
    </row>
    <row r="48" spans="1:8" s="105" customFormat="1" ht="14">
      <c r="A48" s="240"/>
      <c r="B48" s="274" t="s">
        <v>234</v>
      </c>
      <c r="C48" s="528">
        <f t="shared" si="2"/>
        <v>128</v>
      </c>
      <c r="D48" s="528">
        <v>74</v>
      </c>
      <c r="E48" s="528">
        <v>18</v>
      </c>
      <c r="F48" s="528">
        <v>25</v>
      </c>
      <c r="G48" s="528">
        <v>10</v>
      </c>
      <c r="H48" s="528">
        <v>1</v>
      </c>
    </row>
    <row r="50" spans="1:8">
      <c r="A50" s="171" t="s">
        <v>118</v>
      </c>
      <c r="B50" s="165"/>
      <c r="C50" s="165"/>
      <c r="D50" s="165"/>
      <c r="E50" s="165"/>
      <c r="F50" s="165"/>
    </row>
    <row r="51" spans="1:8">
      <c r="A51" s="165"/>
      <c r="B51" s="165"/>
      <c r="C51" s="165"/>
      <c r="D51" s="165"/>
      <c r="E51" s="165"/>
      <c r="F51" s="165"/>
    </row>
    <row r="52" spans="1:8">
      <c r="A52" s="168" t="s">
        <v>168</v>
      </c>
      <c r="B52" s="188"/>
      <c r="C52" s="188"/>
      <c r="D52" s="188"/>
      <c r="E52" s="188"/>
      <c r="F52" s="188"/>
      <c r="G52" s="186"/>
      <c r="H52" s="186"/>
    </row>
  </sheetData>
  <sheetProtection sheet="1" formatCells="0" insertColumns="0" insertRows="0" deleteColumns="0" deleteRows="0"/>
  <mergeCells count="3">
    <mergeCell ref="A2:H2"/>
    <mergeCell ref="A3:B4"/>
    <mergeCell ref="C3:H3"/>
  </mergeCells>
  <printOptions horizontalCentered="1"/>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52"/>
  <sheetViews>
    <sheetView zoomScaleNormal="100" workbookViewId="0">
      <pane ySplit="4" topLeftCell="A19" activePane="bottomLeft" state="frozen"/>
      <selection activeCell="J154" sqref="J154"/>
      <selection pane="bottomLeft" activeCell="C48" sqref="C48"/>
    </sheetView>
  </sheetViews>
  <sheetFormatPr defaultColWidth="9.1796875" defaultRowHeight="13"/>
  <cols>
    <col min="1" max="1" width="6.81640625" style="65" customWidth="1"/>
    <col min="2" max="2" width="9" style="65" customWidth="1"/>
    <col min="3" max="3" width="15.453125" style="65" customWidth="1"/>
    <col min="4" max="8" width="13.81640625" style="65" customWidth="1"/>
    <col min="9" max="16384" width="9.1796875" style="65"/>
  </cols>
  <sheetData>
    <row r="1" spans="1:8" ht="19" customHeight="1">
      <c r="A1" s="523" t="s">
        <v>294</v>
      </c>
      <c r="B1" s="187"/>
      <c r="C1" s="187"/>
      <c r="D1" s="187"/>
      <c r="E1" s="187"/>
      <c r="F1" s="187"/>
      <c r="G1" s="187"/>
      <c r="H1" s="187"/>
    </row>
    <row r="2" spans="1:8" ht="17" customHeight="1">
      <c r="A2" s="760" t="s">
        <v>97</v>
      </c>
      <c r="B2" s="760"/>
      <c r="C2" s="760"/>
      <c r="D2" s="760"/>
      <c r="E2" s="760"/>
      <c r="F2" s="760"/>
      <c r="G2" s="760"/>
      <c r="H2" s="760"/>
    </row>
    <row r="3" spans="1:8" s="105" customFormat="1" ht="23.25" customHeight="1">
      <c r="A3" s="804" t="s">
        <v>98</v>
      </c>
      <c r="B3" s="805"/>
      <c r="C3" s="808" t="s">
        <v>295</v>
      </c>
      <c r="D3" s="809"/>
      <c r="E3" s="809"/>
      <c r="F3" s="809"/>
      <c r="G3" s="810"/>
      <c r="H3" s="811"/>
    </row>
    <row r="4" spans="1:8" s="105" customFormat="1" ht="33" customHeight="1">
      <c r="A4" s="806"/>
      <c r="B4" s="807"/>
      <c r="C4" s="524" t="s">
        <v>102</v>
      </c>
      <c r="D4" s="525" t="s">
        <v>289</v>
      </c>
      <c r="E4" s="525" t="s">
        <v>290</v>
      </c>
      <c r="F4" s="525" t="s">
        <v>291</v>
      </c>
      <c r="G4" s="525" t="s">
        <v>292</v>
      </c>
      <c r="H4" s="525" t="s">
        <v>293</v>
      </c>
    </row>
    <row r="5" spans="1:8" s="105" customFormat="1" ht="14">
      <c r="A5" s="239">
        <v>2015</v>
      </c>
      <c r="B5" s="247" t="s">
        <v>231</v>
      </c>
      <c r="C5" s="332">
        <f t="shared" ref="C5:C48" si="0">SUM(D5:H5)</f>
        <v>39.004498999999996</v>
      </c>
      <c r="D5" s="327">
        <v>16.085599999999999</v>
      </c>
      <c r="E5" s="332">
        <v>7.226</v>
      </c>
      <c r="F5" s="332">
        <v>6.3049999999999997</v>
      </c>
      <c r="G5" s="328">
        <v>9.3878990000000009</v>
      </c>
      <c r="H5" s="534"/>
    </row>
    <row r="6" spans="1:8" s="105" customFormat="1" ht="14">
      <c r="A6" s="239"/>
      <c r="B6" s="251" t="s">
        <v>232</v>
      </c>
      <c r="C6" s="327">
        <f t="shared" si="0"/>
        <v>44.368029999999997</v>
      </c>
      <c r="D6" s="327">
        <v>19.827279999999998</v>
      </c>
      <c r="E6" s="327">
        <v>9.3424999999999994</v>
      </c>
      <c r="F6" s="327">
        <v>5.5592499999999996</v>
      </c>
      <c r="G6" s="327">
        <v>8.7309999999999999</v>
      </c>
      <c r="H6" s="327">
        <v>0.90800000000000003</v>
      </c>
    </row>
    <row r="7" spans="1:8" s="105" customFormat="1" ht="14">
      <c r="A7" s="239"/>
      <c r="B7" s="251" t="s">
        <v>233</v>
      </c>
      <c r="C7" s="327">
        <f t="shared" si="0"/>
        <v>24.460993519999999</v>
      </c>
      <c r="D7" s="327">
        <v>13.59774352</v>
      </c>
      <c r="E7" s="327">
        <v>2.5830000000000002</v>
      </c>
      <c r="F7" s="327">
        <v>5.43025</v>
      </c>
      <c r="G7" s="327">
        <v>2.444</v>
      </c>
      <c r="H7" s="327">
        <v>0.40600000000000003</v>
      </c>
    </row>
    <row r="8" spans="1:8" s="105" customFormat="1" ht="14">
      <c r="A8" s="240"/>
      <c r="B8" s="252" t="s">
        <v>234</v>
      </c>
      <c r="C8" s="329">
        <f t="shared" si="0"/>
        <v>11.73175</v>
      </c>
      <c r="D8" s="329">
        <v>5.3129999999999997</v>
      </c>
      <c r="E8" s="329">
        <v>1.615</v>
      </c>
      <c r="F8" s="329">
        <v>2.6757499999999999</v>
      </c>
      <c r="G8" s="329">
        <v>1.694</v>
      </c>
      <c r="H8" s="329">
        <v>0.434</v>
      </c>
    </row>
    <row r="9" spans="1:8" s="105" customFormat="1" ht="14">
      <c r="A9" s="239">
        <v>2016</v>
      </c>
      <c r="B9" s="247" t="s">
        <v>231</v>
      </c>
      <c r="C9" s="332">
        <f t="shared" si="0"/>
        <v>25.415411000000002</v>
      </c>
      <c r="D9" s="327">
        <v>11.740523</v>
      </c>
      <c r="E9" s="332">
        <v>6.7140000000000004</v>
      </c>
      <c r="F9" s="332">
        <v>5.51</v>
      </c>
      <c r="G9" s="328">
        <v>1.260888</v>
      </c>
      <c r="H9" s="332">
        <v>0.19</v>
      </c>
    </row>
    <row r="10" spans="1:8" s="105" customFormat="1" ht="14">
      <c r="A10" s="239"/>
      <c r="B10" s="251" t="s">
        <v>232</v>
      </c>
      <c r="C10" s="327">
        <f t="shared" si="0"/>
        <v>20.129757490000003</v>
      </c>
      <c r="D10" s="327">
        <v>10.179497490000001</v>
      </c>
      <c r="E10" s="327">
        <v>4.2110000000000003</v>
      </c>
      <c r="F10" s="327">
        <v>4.6872600000000002</v>
      </c>
      <c r="G10" s="327">
        <v>0.77600000000000002</v>
      </c>
      <c r="H10" s="327">
        <v>0.27600000000000002</v>
      </c>
    </row>
    <row r="11" spans="1:8" s="105" customFormat="1" ht="14">
      <c r="A11" s="239"/>
      <c r="B11" s="251" t="s">
        <v>233</v>
      </c>
      <c r="C11" s="327">
        <f t="shared" si="0"/>
        <v>27.482293009999999</v>
      </c>
      <c r="D11" s="327">
        <v>16.423817660000001</v>
      </c>
      <c r="E11" s="327">
        <v>6.8193630000000001</v>
      </c>
      <c r="F11" s="327">
        <v>2.0059999999999998</v>
      </c>
      <c r="G11" s="327">
        <v>1.8260000000000001</v>
      </c>
      <c r="H11" s="327">
        <v>0.40711234999999996</v>
      </c>
    </row>
    <row r="12" spans="1:8" s="105" customFormat="1" ht="14">
      <c r="A12" s="240"/>
      <c r="B12" s="252" t="s">
        <v>234</v>
      </c>
      <c r="C12" s="329">
        <f t="shared" si="0"/>
        <v>32.252957689999995</v>
      </c>
      <c r="D12" s="329">
        <v>16.223100670000001</v>
      </c>
      <c r="E12" s="329">
        <v>6.0391472500000001</v>
      </c>
      <c r="F12" s="329">
        <v>5.6929999999999996</v>
      </c>
      <c r="G12" s="329">
        <v>3.4510000000000001</v>
      </c>
      <c r="H12" s="329">
        <v>0.84670977000000003</v>
      </c>
    </row>
    <row r="13" spans="1:8" s="105" customFormat="1" ht="14">
      <c r="A13" s="239">
        <v>2017</v>
      </c>
      <c r="B13" s="247" t="s">
        <v>231</v>
      </c>
      <c r="C13" s="332">
        <f t="shared" si="0"/>
        <v>23.438587170000002</v>
      </c>
      <c r="D13" s="327">
        <v>11.22519353</v>
      </c>
      <c r="E13" s="327">
        <v>5.0150714599999997</v>
      </c>
      <c r="F13" s="327">
        <v>4.576155</v>
      </c>
      <c r="G13" s="327">
        <v>2.5379999999999998</v>
      </c>
      <c r="H13" s="327">
        <v>8.4167179999999994E-2</v>
      </c>
    </row>
    <row r="14" spans="1:8" s="105" customFormat="1" ht="14">
      <c r="A14" s="239"/>
      <c r="B14" s="251" t="s">
        <v>232</v>
      </c>
      <c r="C14" s="327">
        <f t="shared" si="0"/>
        <v>22.549134519999999</v>
      </c>
      <c r="D14" s="327">
        <v>13.152834519999999</v>
      </c>
      <c r="E14" s="327">
        <v>3.0049000000000001</v>
      </c>
      <c r="F14" s="327">
        <v>2.7450000000000001</v>
      </c>
      <c r="G14" s="327">
        <v>3.5775000000000001</v>
      </c>
      <c r="H14" s="327">
        <v>6.8900000000000003E-2</v>
      </c>
    </row>
    <row r="15" spans="1:8" s="105" customFormat="1" ht="14">
      <c r="A15" s="239"/>
      <c r="B15" s="251" t="s">
        <v>233</v>
      </c>
      <c r="C15" s="327">
        <f t="shared" si="0"/>
        <v>26.909214900000002</v>
      </c>
      <c r="D15" s="327">
        <v>15.9449649</v>
      </c>
      <c r="E15" s="327">
        <v>2.4948999999999999</v>
      </c>
      <c r="F15" s="327">
        <v>4.77135</v>
      </c>
      <c r="G15" s="327">
        <v>2.948</v>
      </c>
      <c r="H15" s="327">
        <v>0.75</v>
      </c>
    </row>
    <row r="16" spans="1:8" s="105" customFormat="1" ht="14">
      <c r="A16" s="242"/>
      <c r="B16" s="252" t="s">
        <v>234</v>
      </c>
      <c r="C16" s="329">
        <f t="shared" si="0"/>
        <v>26.843465999999999</v>
      </c>
      <c r="D16" s="329">
        <v>16.859966</v>
      </c>
      <c r="E16" s="329">
        <v>2.9348999999999998</v>
      </c>
      <c r="F16" s="329">
        <v>4.3436000000000003</v>
      </c>
      <c r="G16" s="329">
        <v>2.5249999999999999</v>
      </c>
      <c r="H16" s="329">
        <v>0.18</v>
      </c>
    </row>
    <row r="17" spans="1:8" s="105" customFormat="1" ht="14">
      <c r="A17" s="238">
        <v>2018</v>
      </c>
      <c r="B17" s="247" t="s">
        <v>231</v>
      </c>
      <c r="C17" s="332">
        <f t="shared" si="0"/>
        <v>23.186222000000001</v>
      </c>
      <c r="D17" s="332">
        <v>13.9496</v>
      </c>
      <c r="E17" s="332">
        <v>3.818622</v>
      </c>
      <c r="F17" s="332">
        <v>3.68</v>
      </c>
      <c r="G17" s="332">
        <v>1.365</v>
      </c>
      <c r="H17" s="332">
        <v>0.373</v>
      </c>
    </row>
    <row r="18" spans="1:8" s="105" customFormat="1" ht="14">
      <c r="A18" s="239"/>
      <c r="B18" s="273" t="s">
        <v>232</v>
      </c>
      <c r="C18" s="327">
        <f t="shared" si="0"/>
        <v>22.697900000000001</v>
      </c>
      <c r="D18" s="327">
        <v>12.8568</v>
      </c>
      <c r="E18" s="327">
        <v>4.5941000000000001</v>
      </c>
      <c r="F18" s="327">
        <v>3.8260000000000001</v>
      </c>
      <c r="G18" s="327">
        <v>1.121</v>
      </c>
      <c r="H18" s="336">
        <v>0.3</v>
      </c>
    </row>
    <row r="19" spans="1:8" s="105" customFormat="1" ht="14">
      <c r="A19" s="239"/>
      <c r="B19" s="273" t="s">
        <v>233</v>
      </c>
      <c r="C19" s="327">
        <f t="shared" si="0"/>
        <v>27.999999999999996</v>
      </c>
      <c r="D19" s="327">
        <v>17.82</v>
      </c>
      <c r="E19" s="327">
        <v>5.83</v>
      </c>
      <c r="F19" s="327">
        <v>3.54</v>
      </c>
      <c r="G19" s="327">
        <v>0.72</v>
      </c>
      <c r="H19" s="327">
        <v>0.09</v>
      </c>
    </row>
    <row r="20" spans="1:8" s="105" customFormat="1" ht="14">
      <c r="A20" s="240"/>
      <c r="B20" s="274" t="s">
        <v>234</v>
      </c>
      <c r="C20" s="329">
        <f t="shared" si="0"/>
        <v>36.21</v>
      </c>
      <c r="D20" s="329">
        <v>22.7</v>
      </c>
      <c r="E20" s="329">
        <v>4.84</v>
      </c>
      <c r="F20" s="329">
        <v>5.85</v>
      </c>
      <c r="G20" s="329">
        <v>2.52</v>
      </c>
      <c r="H20" s="342">
        <v>0.3</v>
      </c>
    </row>
    <row r="21" spans="1:8" s="105" customFormat="1" ht="14">
      <c r="A21" s="238">
        <v>2019</v>
      </c>
      <c r="B21" s="272" t="s">
        <v>231</v>
      </c>
      <c r="C21" s="332">
        <f t="shared" si="0"/>
        <v>29.900000000000002</v>
      </c>
      <c r="D21" s="332">
        <v>17.690000000000001</v>
      </c>
      <c r="E21" s="332">
        <v>5.72</v>
      </c>
      <c r="F21" s="332">
        <v>4.28</v>
      </c>
      <c r="G21" s="332">
        <v>2.21</v>
      </c>
      <c r="H21" s="332"/>
    </row>
    <row r="22" spans="1:8" s="105" customFormat="1" ht="14">
      <c r="A22" s="239"/>
      <c r="B22" s="273" t="s">
        <v>232</v>
      </c>
      <c r="C22" s="327">
        <f t="shared" si="0"/>
        <v>32.693550000000002</v>
      </c>
      <c r="D22" s="403">
        <v>18.300650000000001</v>
      </c>
      <c r="E22" s="327">
        <v>6.4669999999999996</v>
      </c>
      <c r="F22" s="327">
        <v>5.8045</v>
      </c>
      <c r="G22" s="327">
        <v>1.871</v>
      </c>
      <c r="H22" s="327">
        <v>0.25040000000000001</v>
      </c>
    </row>
    <row r="23" spans="1:8" s="105" customFormat="1" ht="14">
      <c r="A23" s="239"/>
      <c r="B23" s="273" t="s">
        <v>233</v>
      </c>
      <c r="C23" s="403">
        <f t="shared" si="0"/>
        <v>30.085900000000002</v>
      </c>
      <c r="D23" s="327">
        <v>18.5</v>
      </c>
      <c r="E23" s="402">
        <v>4.9569000000000001</v>
      </c>
      <c r="F23" s="403">
        <v>4.3540000000000001</v>
      </c>
      <c r="G23" s="402">
        <v>2.19</v>
      </c>
      <c r="H23" s="327">
        <v>8.5000000000000006E-2</v>
      </c>
    </row>
    <row r="24" spans="1:8" s="105" customFormat="1" ht="14">
      <c r="A24" s="240"/>
      <c r="B24" s="274" t="s">
        <v>234</v>
      </c>
      <c r="C24" s="329">
        <f t="shared" si="0"/>
        <v>30.1</v>
      </c>
      <c r="D24" s="329">
        <v>14.6</v>
      </c>
      <c r="E24" s="329">
        <v>7.2</v>
      </c>
      <c r="F24" s="329">
        <v>4.7</v>
      </c>
      <c r="G24" s="329">
        <v>3.6</v>
      </c>
      <c r="H24" s="535"/>
    </row>
    <row r="25" spans="1:8" s="105" customFormat="1" ht="14">
      <c r="A25" s="238">
        <v>2020</v>
      </c>
      <c r="B25" s="272" t="s">
        <v>231</v>
      </c>
      <c r="C25" s="332">
        <f t="shared" si="0"/>
        <v>19.672756</v>
      </c>
      <c r="D25" s="332">
        <v>6.6502559999999997</v>
      </c>
      <c r="E25" s="332">
        <v>6.7670000000000003</v>
      </c>
      <c r="F25" s="332">
        <v>2.6135000000000002</v>
      </c>
      <c r="G25" s="332">
        <v>3.6419999999999999</v>
      </c>
      <c r="H25" s="536"/>
    </row>
    <row r="26" spans="1:8" s="105" customFormat="1" ht="14">
      <c r="A26" s="239"/>
      <c r="B26" s="273" t="s">
        <v>232</v>
      </c>
      <c r="C26" s="327">
        <f t="shared" si="0"/>
        <v>28.891919000000001</v>
      </c>
      <c r="D26" s="327">
        <v>14.082969</v>
      </c>
      <c r="E26" s="327">
        <v>7.8545499999999997</v>
      </c>
      <c r="F26" s="327">
        <v>3.4039999999999999</v>
      </c>
      <c r="G26" s="327">
        <v>3.1640000000000001</v>
      </c>
      <c r="H26" s="537">
        <v>0.38640000000000002</v>
      </c>
    </row>
    <row r="27" spans="1:8" s="105" customFormat="1" ht="14">
      <c r="A27" s="239"/>
      <c r="B27" s="273" t="s">
        <v>233</v>
      </c>
      <c r="C27" s="327">
        <f t="shared" si="0"/>
        <v>45.055199999999999</v>
      </c>
      <c r="D27" s="327">
        <v>26.5596</v>
      </c>
      <c r="E27" s="327">
        <v>8.3390000000000004</v>
      </c>
      <c r="F27" s="327">
        <v>6.4793000000000003</v>
      </c>
      <c r="G27" s="327">
        <v>2.5935000000000001</v>
      </c>
      <c r="H27" s="537">
        <v>1.0838000000000001</v>
      </c>
    </row>
    <row r="28" spans="1:8" s="105" customFormat="1" ht="14">
      <c r="A28" s="240"/>
      <c r="B28" s="274" t="s">
        <v>234</v>
      </c>
      <c r="C28" s="329">
        <f t="shared" si="0"/>
        <v>35.315553720000004</v>
      </c>
      <c r="D28" s="329">
        <v>21.77315372</v>
      </c>
      <c r="E28" s="329">
        <v>6.8855000000000004</v>
      </c>
      <c r="F28" s="329">
        <v>4.7910000000000004</v>
      </c>
      <c r="G28" s="329">
        <v>1.2090000000000001</v>
      </c>
      <c r="H28" s="535">
        <v>0.65690000000000004</v>
      </c>
    </row>
    <row r="29" spans="1:8" s="105" customFormat="1" ht="14">
      <c r="A29" s="238">
        <v>2021</v>
      </c>
      <c r="B29" s="272" t="s">
        <v>231</v>
      </c>
      <c r="C29" s="332">
        <f t="shared" si="0"/>
        <v>29.200253999999997</v>
      </c>
      <c r="D29" s="332">
        <v>20.283253999999999</v>
      </c>
      <c r="E29" s="332">
        <v>4.5609999999999999</v>
      </c>
      <c r="F29" s="332">
        <v>1.788</v>
      </c>
      <c r="G29" s="332">
        <v>2.0779999999999998</v>
      </c>
      <c r="H29" s="332">
        <v>0.49</v>
      </c>
    </row>
    <row r="30" spans="1:8" s="105" customFormat="1" ht="14">
      <c r="A30" s="239"/>
      <c r="B30" s="273" t="s">
        <v>232</v>
      </c>
      <c r="C30" s="403">
        <f t="shared" si="0"/>
        <v>28.731351</v>
      </c>
      <c r="D30" s="403">
        <v>20.581351000000002</v>
      </c>
      <c r="E30" s="403">
        <v>4.8639999999999999</v>
      </c>
      <c r="F30" s="386">
        <v>1.496</v>
      </c>
      <c r="G30" s="327">
        <v>1.4219999999999999</v>
      </c>
      <c r="H30" s="327">
        <v>0.36799999999999999</v>
      </c>
    </row>
    <row r="31" spans="1:8" s="105" customFormat="1" ht="14">
      <c r="A31" s="239"/>
      <c r="B31" s="273" t="s">
        <v>233</v>
      </c>
      <c r="C31" s="403">
        <f t="shared" si="0"/>
        <v>35.337570110000001</v>
      </c>
      <c r="D31" s="403">
        <v>23.689570109999998</v>
      </c>
      <c r="E31" s="386">
        <v>7.1230000000000002</v>
      </c>
      <c r="F31" s="403">
        <v>3.2410000000000001</v>
      </c>
      <c r="G31" s="327">
        <v>1.284</v>
      </c>
      <c r="H31" s="327"/>
    </row>
    <row r="32" spans="1:8" s="105" customFormat="1" ht="14">
      <c r="A32" s="240"/>
      <c r="B32" s="274" t="s">
        <v>234</v>
      </c>
      <c r="C32" s="538">
        <f t="shared" si="0"/>
        <v>35.136437880000003</v>
      </c>
      <c r="D32" s="538">
        <v>23.089149880000001</v>
      </c>
      <c r="E32" s="390">
        <v>3.8559999999999999</v>
      </c>
      <c r="F32" s="390">
        <v>5.1392879999999996</v>
      </c>
      <c r="G32" s="329">
        <v>2.677</v>
      </c>
      <c r="H32" s="329">
        <v>0.375</v>
      </c>
    </row>
    <row r="33" spans="1:8" s="105" customFormat="1" ht="14">
      <c r="A33" s="238">
        <v>2022</v>
      </c>
      <c r="B33" s="272" t="s">
        <v>231</v>
      </c>
      <c r="C33" s="332">
        <f t="shared" si="0"/>
        <v>32.610522020000005</v>
      </c>
      <c r="D33" s="332">
        <v>23.186522020000002</v>
      </c>
      <c r="E33" s="332">
        <v>3.9849999999999999</v>
      </c>
      <c r="F33" s="332">
        <v>4.6310000000000002</v>
      </c>
      <c r="G33" s="332">
        <v>0.80800000000000005</v>
      </c>
      <c r="H33" s="332"/>
    </row>
    <row r="34" spans="1:8" s="105" customFormat="1" ht="14">
      <c r="A34" s="239"/>
      <c r="B34" s="273" t="s">
        <v>232</v>
      </c>
      <c r="C34" s="327">
        <f t="shared" si="0"/>
        <v>33.918373209999999</v>
      </c>
      <c r="D34" s="327">
        <v>20.359373210000001</v>
      </c>
      <c r="E34" s="327">
        <v>5.8235000000000001</v>
      </c>
      <c r="F34" s="327">
        <v>5.1864999999999997</v>
      </c>
      <c r="G34" s="327">
        <v>2.1320000000000001</v>
      </c>
      <c r="H34" s="327">
        <v>0.41699999999999998</v>
      </c>
    </row>
    <row r="35" spans="1:8" s="105" customFormat="1" ht="14">
      <c r="A35" s="239"/>
      <c r="B35" s="273" t="s">
        <v>233</v>
      </c>
      <c r="C35" s="327">
        <f t="shared" si="0"/>
        <v>35.909274000000003</v>
      </c>
      <c r="D35" s="327">
        <v>22.806774000000001</v>
      </c>
      <c r="E35" s="327">
        <v>5.71</v>
      </c>
      <c r="F35" s="327">
        <v>6.7605000000000004</v>
      </c>
      <c r="G35" s="327">
        <v>0.63200000000000001</v>
      </c>
      <c r="H35" s="327"/>
    </row>
    <row r="36" spans="1:8" s="105" customFormat="1" ht="14">
      <c r="A36" s="240"/>
      <c r="B36" s="274" t="s">
        <v>234</v>
      </c>
      <c r="C36" s="329">
        <f t="shared" si="0"/>
        <v>38.134302449999993</v>
      </c>
      <c r="D36" s="329">
        <v>26.70420245</v>
      </c>
      <c r="E36" s="329">
        <v>4.5441000000000003</v>
      </c>
      <c r="F36" s="329">
        <v>4.7469999999999999</v>
      </c>
      <c r="G36" s="329">
        <v>1.669</v>
      </c>
      <c r="H36" s="329">
        <v>0.47</v>
      </c>
    </row>
    <row r="37" spans="1:8" s="105" customFormat="1" ht="14">
      <c r="A37" s="238">
        <v>2023</v>
      </c>
      <c r="B37" s="272" t="s">
        <v>231</v>
      </c>
      <c r="C37" s="332">
        <f t="shared" si="0"/>
        <v>31.9</v>
      </c>
      <c r="D37" s="332">
        <v>21.8</v>
      </c>
      <c r="E37" s="332">
        <v>2.9</v>
      </c>
      <c r="F37" s="332">
        <v>5.8</v>
      </c>
      <c r="G37" s="332">
        <v>1.2</v>
      </c>
      <c r="H37" s="332">
        <v>0.2</v>
      </c>
    </row>
    <row r="38" spans="1:8" s="105" customFormat="1" ht="14">
      <c r="A38" s="239"/>
      <c r="B38" s="273" t="s">
        <v>232</v>
      </c>
      <c r="C38" s="327">
        <f t="shared" si="0"/>
        <v>34.608076939999997</v>
      </c>
      <c r="D38" s="327">
        <v>20.581076939999999</v>
      </c>
      <c r="E38" s="327">
        <v>6.5819999999999999</v>
      </c>
      <c r="F38" s="327">
        <v>6.53</v>
      </c>
      <c r="G38" s="327">
        <v>0.75</v>
      </c>
      <c r="H38" s="327">
        <v>0.16500000000000001</v>
      </c>
    </row>
    <row r="39" spans="1:8" s="105" customFormat="1" ht="14">
      <c r="A39" s="239"/>
      <c r="B39" s="273" t="s">
        <v>233</v>
      </c>
      <c r="C39" s="327">
        <f t="shared" si="0"/>
        <v>26.982600000000001</v>
      </c>
      <c r="D39" s="327">
        <v>17.228100000000001</v>
      </c>
      <c r="E39" s="327">
        <v>5.28</v>
      </c>
      <c r="F39" s="327">
        <v>3.8355000000000001</v>
      </c>
      <c r="G39" s="327">
        <v>0.63900000000000001</v>
      </c>
      <c r="H39" s="327"/>
    </row>
    <row r="40" spans="1:8" s="105" customFormat="1" ht="14">
      <c r="A40" s="240"/>
      <c r="B40" s="274" t="s">
        <v>234</v>
      </c>
      <c r="C40" s="329">
        <f t="shared" si="0"/>
        <v>36.329276999999998</v>
      </c>
      <c r="D40" s="329">
        <v>24.668776999999999</v>
      </c>
      <c r="E40" s="329">
        <v>5.2290000000000001</v>
      </c>
      <c r="F40" s="329">
        <v>5.7934999999999999</v>
      </c>
      <c r="G40" s="329">
        <v>0.63800000000000001</v>
      </c>
      <c r="H40" s="329"/>
    </row>
    <row r="41" spans="1:8" s="105" customFormat="1" ht="14">
      <c r="A41" s="238">
        <v>2024</v>
      </c>
      <c r="B41" s="272" t="s">
        <v>231</v>
      </c>
      <c r="C41" s="332">
        <f t="shared" si="0"/>
        <v>20.558599999999998</v>
      </c>
      <c r="D41" s="332">
        <v>12.411099999999999</v>
      </c>
      <c r="E41" s="332">
        <v>3.1720000000000002</v>
      </c>
      <c r="F41" s="332">
        <v>4.5054999999999996</v>
      </c>
      <c r="G41" s="332">
        <v>0.47</v>
      </c>
      <c r="H41" s="332"/>
    </row>
    <row r="42" spans="1:8" s="105" customFormat="1" ht="14">
      <c r="A42" s="239"/>
      <c r="B42" s="273" t="s">
        <v>232</v>
      </c>
      <c r="C42" s="327">
        <f t="shared" si="0"/>
        <v>33.920929999999998</v>
      </c>
      <c r="D42" s="327">
        <v>22.17943</v>
      </c>
      <c r="E42" s="327">
        <v>6.4059999999999997</v>
      </c>
      <c r="F42" s="327">
        <v>5.3354999999999997</v>
      </c>
      <c r="G42" s="327"/>
      <c r="H42" s="327"/>
    </row>
    <row r="43" spans="1:8" s="105" customFormat="1" ht="14">
      <c r="A43" s="239"/>
      <c r="B43" s="273" t="s">
        <v>233</v>
      </c>
      <c r="C43" s="327">
        <f t="shared" si="0"/>
        <v>34.500532999999997</v>
      </c>
      <c r="D43" s="327">
        <v>21.844532999999998</v>
      </c>
      <c r="E43" s="327">
        <v>8.9280000000000008</v>
      </c>
      <c r="F43" s="327">
        <v>2.5409999999999999</v>
      </c>
      <c r="G43" s="327">
        <v>0.83499999999999996</v>
      </c>
      <c r="H43" s="327">
        <v>0.35199999999999998</v>
      </c>
    </row>
    <row r="44" spans="1:8" s="105" customFormat="1" ht="14">
      <c r="A44" s="240"/>
      <c r="B44" s="274" t="s">
        <v>234</v>
      </c>
      <c r="C44" s="329">
        <f t="shared" si="0"/>
        <v>36.527399719999998</v>
      </c>
      <c r="D44" s="329">
        <v>21.44717683</v>
      </c>
      <c r="E44" s="329">
        <v>7.6319999999999997</v>
      </c>
      <c r="F44" s="329">
        <v>5.4562228900000003</v>
      </c>
      <c r="G44" s="329">
        <v>1.8420000000000001</v>
      </c>
      <c r="H44" s="329">
        <v>0.15</v>
      </c>
    </row>
    <row r="45" spans="1:8" s="105" customFormat="1" ht="14">
      <c r="A45" s="238">
        <v>2025</v>
      </c>
      <c r="B45" s="272" t="s">
        <v>231</v>
      </c>
      <c r="C45" s="332">
        <f t="shared" si="0"/>
        <v>23.9</v>
      </c>
      <c r="D45" s="332">
        <v>15</v>
      </c>
      <c r="E45" s="332">
        <v>4.0999999999999996</v>
      </c>
      <c r="F45" s="332">
        <v>3.9</v>
      </c>
      <c r="G45" s="332">
        <v>0.9</v>
      </c>
      <c r="H45" s="332">
        <v>0</v>
      </c>
    </row>
    <row r="46" spans="1:8" s="105" customFormat="1" ht="14">
      <c r="A46" s="239"/>
      <c r="B46" s="273" t="s">
        <v>232</v>
      </c>
      <c r="C46" s="327">
        <f t="shared" si="0"/>
        <v>37.926413750000002</v>
      </c>
      <c r="D46" s="327">
        <v>25.255859749999999</v>
      </c>
      <c r="E46" s="327">
        <v>5.9189999999999996</v>
      </c>
      <c r="F46" s="327">
        <v>4.2240000000000002</v>
      </c>
      <c r="G46" s="327">
        <v>2.417554</v>
      </c>
      <c r="H46" s="327">
        <v>0.11</v>
      </c>
    </row>
    <row r="47" spans="1:8" s="105" customFormat="1" ht="14">
      <c r="A47" s="239"/>
      <c r="B47" s="273" t="s">
        <v>233</v>
      </c>
      <c r="C47" s="327">
        <f t="shared" si="0"/>
        <v>45.660051690000003</v>
      </c>
      <c r="D47" s="327">
        <v>32.541099690000003</v>
      </c>
      <c r="E47" s="327">
        <v>3.9685000000000001</v>
      </c>
      <c r="F47" s="327">
        <v>6.3006000000000002</v>
      </c>
      <c r="G47" s="327">
        <v>2.779852</v>
      </c>
      <c r="H47" s="327">
        <v>7.0000000000000007E-2</v>
      </c>
    </row>
    <row r="48" spans="1:8" s="105" customFormat="1" ht="14">
      <c r="A48" s="240"/>
      <c r="B48" s="274" t="s">
        <v>234</v>
      </c>
      <c r="C48" s="329">
        <f t="shared" si="0"/>
        <v>32.806314</v>
      </c>
      <c r="D48" s="329">
        <v>20.0684</v>
      </c>
      <c r="E48" s="329">
        <v>4.8259999999999996</v>
      </c>
      <c r="F48" s="329">
        <v>5.2750000000000004</v>
      </c>
      <c r="G48" s="329">
        <v>2.3719139999999999</v>
      </c>
      <c r="H48" s="329">
        <v>0.26500000000000001</v>
      </c>
    </row>
    <row r="49" spans="1:8">
      <c r="B49" s="67"/>
      <c r="C49" s="88"/>
      <c r="D49" s="88"/>
      <c r="E49" s="88"/>
      <c r="F49" s="88"/>
      <c r="G49" s="88"/>
      <c r="H49" s="88"/>
    </row>
    <row r="50" spans="1:8">
      <c r="A50" s="171" t="s">
        <v>118</v>
      </c>
      <c r="B50" s="165"/>
    </row>
    <row r="51" spans="1:8">
      <c r="A51" s="812" t="s">
        <v>410</v>
      </c>
      <c r="B51" s="812"/>
      <c r="C51" s="812"/>
      <c r="D51" s="812"/>
      <c r="E51" s="812"/>
      <c r="F51" s="812"/>
      <c r="G51" s="812"/>
      <c r="H51" s="812"/>
    </row>
    <row r="52" spans="1:8">
      <c r="A52" s="168" t="s">
        <v>168</v>
      </c>
      <c r="B52" s="165"/>
    </row>
  </sheetData>
  <sheetProtection sheet="1" formatCells="0" insertColumns="0" insertRows="0" deleteColumns="0" deleteRows="0"/>
  <mergeCells count="4">
    <mergeCell ref="A2:H2"/>
    <mergeCell ref="A3:B4"/>
    <mergeCell ref="C3:H3"/>
    <mergeCell ref="A51:H51"/>
  </mergeCells>
  <printOptions horizontalCentered="1"/>
  <pageMargins left="0.7" right="0.7" top="0.75" bottom="0.75" header="0.3" footer="0.3"/>
  <pageSetup paperSize="9" scale="92" orientation="landscape" r:id="rId1"/>
  <ignoredErrors>
    <ignoredError sqref="C5:C8 C9:C20"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52"/>
  <sheetViews>
    <sheetView zoomScaleNormal="100" workbookViewId="0">
      <pane ySplit="4" topLeftCell="A16" activePane="bottomLeft" state="frozen"/>
      <selection activeCell="J154" sqref="J154"/>
      <selection pane="bottomLeft" activeCell="H48" sqref="H48"/>
    </sheetView>
  </sheetViews>
  <sheetFormatPr defaultColWidth="9.1796875" defaultRowHeight="13"/>
  <cols>
    <col min="1" max="1" width="6.81640625" style="65" customWidth="1"/>
    <col min="2" max="2" width="9.81640625" style="65" customWidth="1"/>
    <col min="3" max="8" width="14.1796875" style="65" customWidth="1"/>
    <col min="9" max="16384" width="9.1796875" style="65"/>
  </cols>
  <sheetData>
    <row r="1" spans="1:8" ht="15.5">
      <c r="A1" s="523" t="s">
        <v>296</v>
      </c>
      <c r="F1" s="813"/>
      <c r="G1" s="813"/>
      <c r="H1" s="813"/>
    </row>
    <row r="2" spans="1:8" ht="14">
      <c r="A2" s="760" t="s">
        <v>297</v>
      </c>
      <c r="B2" s="760"/>
      <c r="C2" s="760"/>
      <c r="D2" s="760"/>
      <c r="E2" s="760"/>
      <c r="F2" s="760"/>
      <c r="G2" s="760"/>
      <c r="H2" s="760"/>
    </row>
    <row r="3" spans="1:8" s="105" customFormat="1" ht="21.75" customHeight="1">
      <c r="A3" s="804" t="s">
        <v>98</v>
      </c>
      <c r="B3" s="805"/>
      <c r="C3" s="808" t="s">
        <v>298</v>
      </c>
      <c r="D3" s="809"/>
      <c r="E3" s="809"/>
      <c r="F3" s="809"/>
      <c r="G3" s="810"/>
      <c r="H3" s="811"/>
    </row>
    <row r="4" spans="1:8" s="105" customFormat="1" ht="28">
      <c r="A4" s="806"/>
      <c r="B4" s="807"/>
      <c r="C4" s="524" t="s">
        <v>299</v>
      </c>
      <c r="D4" s="525" t="s">
        <v>289</v>
      </c>
      <c r="E4" s="525" t="s">
        <v>290</v>
      </c>
      <c r="F4" s="525" t="s">
        <v>291</v>
      </c>
      <c r="G4" s="525" t="s">
        <v>292</v>
      </c>
      <c r="H4" s="525" t="s">
        <v>293</v>
      </c>
    </row>
    <row r="5" spans="1:8" s="105" customFormat="1" ht="14">
      <c r="A5" s="239">
        <v>2015</v>
      </c>
      <c r="B5" s="247" t="s">
        <v>231</v>
      </c>
      <c r="C5" s="332">
        <v>270</v>
      </c>
      <c r="D5" s="327">
        <v>377.5</v>
      </c>
      <c r="E5" s="332">
        <v>289.5</v>
      </c>
      <c r="F5" s="332">
        <v>240</v>
      </c>
      <c r="G5" s="328">
        <v>240</v>
      </c>
      <c r="H5" s="539"/>
    </row>
    <row r="6" spans="1:8" s="105" customFormat="1" ht="14">
      <c r="A6" s="239"/>
      <c r="B6" s="251" t="s">
        <v>232</v>
      </c>
      <c r="C6" s="327">
        <v>246</v>
      </c>
      <c r="D6" s="327">
        <v>330</v>
      </c>
      <c r="E6" s="327">
        <v>280</v>
      </c>
      <c r="F6" s="327">
        <v>231.75</v>
      </c>
      <c r="G6" s="327">
        <v>223.7</v>
      </c>
      <c r="H6" s="327">
        <v>225</v>
      </c>
    </row>
    <row r="7" spans="1:8" s="105" customFormat="1" ht="14">
      <c r="A7" s="239"/>
      <c r="B7" s="251" t="s">
        <v>233</v>
      </c>
      <c r="C7" s="327">
        <v>295</v>
      </c>
      <c r="D7" s="327">
        <v>380</v>
      </c>
      <c r="E7" s="327">
        <v>245</v>
      </c>
      <c r="F7" s="327">
        <v>257.5</v>
      </c>
      <c r="G7" s="327">
        <v>255</v>
      </c>
      <c r="H7" s="327">
        <v>105</v>
      </c>
    </row>
    <row r="8" spans="1:8" s="105" customFormat="1" ht="14">
      <c r="A8" s="240"/>
      <c r="B8" s="252" t="s">
        <v>234</v>
      </c>
      <c r="C8" s="329">
        <v>270</v>
      </c>
      <c r="D8" s="329">
        <v>345</v>
      </c>
      <c r="E8" s="329">
        <v>287.5</v>
      </c>
      <c r="F8" s="329">
        <v>255</v>
      </c>
      <c r="G8" s="329">
        <v>246</v>
      </c>
      <c r="H8" s="329">
        <v>143</v>
      </c>
    </row>
    <row r="9" spans="1:8" s="105" customFormat="1" ht="14">
      <c r="A9" s="239">
        <v>2016</v>
      </c>
      <c r="B9" s="247" t="s">
        <v>231</v>
      </c>
      <c r="C9" s="332">
        <v>279</v>
      </c>
      <c r="D9" s="327">
        <v>290</v>
      </c>
      <c r="E9" s="332">
        <v>250</v>
      </c>
      <c r="F9" s="332">
        <v>270</v>
      </c>
      <c r="G9" s="328">
        <v>213.5</v>
      </c>
      <c r="H9" s="332">
        <v>95</v>
      </c>
    </row>
    <row r="10" spans="1:8" s="105" customFormat="1" ht="14">
      <c r="A10" s="239"/>
      <c r="B10" s="251" t="s">
        <v>232</v>
      </c>
      <c r="C10" s="327">
        <v>255</v>
      </c>
      <c r="D10" s="327">
        <v>257.5</v>
      </c>
      <c r="E10" s="327">
        <v>305</v>
      </c>
      <c r="F10" s="327">
        <v>255</v>
      </c>
      <c r="G10" s="327">
        <v>220</v>
      </c>
      <c r="H10" s="327">
        <v>138</v>
      </c>
    </row>
    <row r="11" spans="1:8" s="105" customFormat="1" ht="14">
      <c r="A11" s="239"/>
      <c r="B11" s="251" t="s">
        <v>233</v>
      </c>
      <c r="C11" s="327">
        <v>276.62987500000003</v>
      </c>
      <c r="D11" s="327">
        <v>280</v>
      </c>
      <c r="E11" s="327">
        <v>300</v>
      </c>
      <c r="F11" s="327">
        <v>203</v>
      </c>
      <c r="G11" s="327">
        <v>230</v>
      </c>
      <c r="H11" s="327">
        <v>64</v>
      </c>
    </row>
    <row r="12" spans="1:8" s="105" customFormat="1" ht="14">
      <c r="A12" s="240"/>
      <c r="B12" s="252" t="s">
        <v>234</v>
      </c>
      <c r="C12" s="329">
        <v>280</v>
      </c>
      <c r="D12" s="329">
        <v>320</v>
      </c>
      <c r="E12" s="329">
        <v>270</v>
      </c>
      <c r="F12" s="329">
        <v>255</v>
      </c>
      <c r="G12" s="329">
        <v>320</v>
      </c>
      <c r="H12" s="329">
        <v>100.19338500000001</v>
      </c>
    </row>
    <row r="13" spans="1:8" s="105" customFormat="1" ht="14">
      <c r="A13" s="238">
        <v>2017</v>
      </c>
      <c r="B13" s="247" t="s">
        <v>231</v>
      </c>
      <c r="C13" s="332">
        <v>280</v>
      </c>
      <c r="D13" s="332">
        <v>315</v>
      </c>
      <c r="E13" s="332">
        <v>286</v>
      </c>
      <c r="F13" s="332">
        <v>210</v>
      </c>
      <c r="G13" s="332">
        <v>440.75</v>
      </c>
      <c r="H13" s="332">
        <v>84.167179999999988</v>
      </c>
    </row>
    <row r="14" spans="1:8" s="105" customFormat="1" ht="14">
      <c r="A14" s="241"/>
      <c r="B14" s="251" t="s">
        <v>232</v>
      </c>
      <c r="C14" s="327">
        <v>285</v>
      </c>
      <c r="D14" s="327">
        <v>318</v>
      </c>
      <c r="E14" s="327">
        <v>300</v>
      </c>
      <c r="F14" s="327">
        <v>250</v>
      </c>
      <c r="G14" s="327">
        <v>324</v>
      </c>
      <c r="H14" s="327">
        <v>68.900000000000006</v>
      </c>
    </row>
    <row r="15" spans="1:8" s="105" customFormat="1" ht="14">
      <c r="A15" s="239"/>
      <c r="B15" s="251" t="s">
        <v>233</v>
      </c>
      <c r="C15" s="327">
        <v>228.5</v>
      </c>
      <c r="D15" s="327">
        <v>316.5</v>
      </c>
      <c r="E15" s="327">
        <v>280</v>
      </c>
      <c r="F15" s="327">
        <v>116.25</v>
      </c>
      <c r="G15" s="327">
        <v>210</v>
      </c>
      <c r="H15" s="327">
        <v>220</v>
      </c>
    </row>
    <row r="16" spans="1:8" s="105" customFormat="1" ht="14">
      <c r="A16" s="242"/>
      <c r="B16" s="252" t="s">
        <v>234</v>
      </c>
      <c r="C16" s="329">
        <v>267</v>
      </c>
      <c r="D16" s="329">
        <v>286</v>
      </c>
      <c r="E16" s="329">
        <v>288.5</v>
      </c>
      <c r="F16" s="329">
        <v>218</v>
      </c>
      <c r="G16" s="329">
        <v>367.5</v>
      </c>
      <c r="H16" s="329">
        <v>180</v>
      </c>
    </row>
    <row r="17" spans="1:9" s="105" customFormat="1" ht="14">
      <c r="A17" s="238">
        <v>2018</v>
      </c>
      <c r="B17" s="272" t="s">
        <v>231</v>
      </c>
      <c r="C17" s="332">
        <v>250</v>
      </c>
      <c r="D17" s="332">
        <v>299</v>
      </c>
      <c r="E17" s="332">
        <v>260</v>
      </c>
      <c r="F17" s="332">
        <v>185</v>
      </c>
      <c r="G17" s="332">
        <v>205</v>
      </c>
      <c r="H17" s="332">
        <v>82</v>
      </c>
    </row>
    <row r="18" spans="1:9" s="105" customFormat="1" ht="14">
      <c r="A18" s="239"/>
      <c r="B18" s="273" t="s">
        <v>232</v>
      </c>
      <c r="C18" s="327">
        <v>260</v>
      </c>
      <c r="D18" s="327">
        <v>280</v>
      </c>
      <c r="E18" s="327">
        <v>257.5</v>
      </c>
      <c r="F18" s="327">
        <v>210</v>
      </c>
      <c r="G18" s="327">
        <v>283</v>
      </c>
      <c r="H18" s="327">
        <v>300</v>
      </c>
    </row>
    <row r="19" spans="1:9" s="105" customFormat="1" ht="14">
      <c r="A19" s="239"/>
      <c r="B19" s="273" t="s">
        <v>233</v>
      </c>
      <c r="C19" s="327">
        <v>250</v>
      </c>
      <c r="D19" s="327">
        <v>280</v>
      </c>
      <c r="E19" s="403">
        <v>255</v>
      </c>
      <c r="F19" s="327">
        <v>193</v>
      </c>
      <c r="G19" s="327">
        <v>215</v>
      </c>
      <c r="H19" s="336">
        <v>91</v>
      </c>
    </row>
    <row r="20" spans="1:9" s="105" customFormat="1" ht="14">
      <c r="A20" s="240"/>
      <c r="B20" s="274" t="s">
        <v>234</v>
      </c>
      <c r="C20" s="329">
        <v>252</v>
      </c>
      <c r="D20" s="329">
        <v>280</v>
      </c>
      <c r="E20" s="329">
        <v>245</v>
      </c>
      <c r="F20" s="329">
        <v>245</v>
      </c>
      <c r="G20" s="329">
        <v>240</v>
      </c>
      <c r="H20" s="342">
        <v>304.8</v>
      </c>
    </row>
    <row r="21" spans="1:9" s="105" customFormat="1" ht="14">
      <c r="A21" s="238">
        <v>2019</v>
      </c>
      <c r="B21" s="272" t="s">
        <v>231</v>
      </c>
      <c r="C21" s="332">
        <v>245</v>
      </c>
      <c r="D21" s="332">
        <v>288</v>
      </c>
      <c r="E21" s="332">
        <v>250</v>
      </c>
      <c r="F21" s="332">
        <v>159.5</v>
      </c>
      <c r="G21" s="332">
        <v>325</v>
      </c>
      <c r="H21" s="332"/>
    </row>
    <row r="22" spans="1:9" s="105" customFormat="1" ht="14">
      <c r="A22" s="239"/>
      <c r="B22" s="273" t="s">
        <v>232</v>
      </c>
      <c r="C22" s="327">
        <v>260</v>
      </c>
      <c r="D22" s="327">
        <v>286</v>
      </c>
      <c r="E22" s="327">
        <v>268</v>
      </c>
      <c r="F22" s="327">
        <v>198</v>
      </c>
      <c r="G22" s="327">
        <v>326</v>
      </c>
      <c r="H22" s="327">
        <v>125</v>
      </c>
    </row>
    <row r="23" spans="1:9" s="105" customFormat="1" ht="14">
      <c r="A23" s="239"/>
      <c r="B23" s="273" t="s">
        <v>233</v>
      </c>
      <c r="C23" s="327">
        <v>260</v>
      </c>
      <c r="D23" s="403">
        <v>293</v>
      </c>
      <c r="E23" s="403">
        <v>288</v>
      </c>
      <c r="F23" s="327">
        <v>205</v>
      </c>
      <c r="G23" s="403">
        <v>195</v>
      </c>
      <c r="H23" s="327">
        <v>85</v>
      </c>
      <c r="I23" s="112"/>
    </row>
    <row r="24" spans="1:9" s="105" customFormat="1" ht="14">
      <c r="A24" s="240"/>
      <c r="B24" s="274" t="s">
        <v>234</v>
      </c>
      <c r="C24" s="329">
        <v>258</v>
      </c>
      <c r="D24" s="329">
        <v>285</v>
      </c>
      <c r="E24" s="329">
        <v>271</v>
      </c>
      <c r="F24" s="329">
        <v>225</v>
      </c>
      <c r="G24" s="329">
        <v>223</v>
      </c>
      <c r="H24" s="329"/>
    </row>
    <row r="25" spans="1:9" s="105" customFormat="1" ht="14">
      <c r="A25" s="238">
        <v>2020</v>
      </c>
      <c r="B25" s="272" t="s">
        <v>231</v>
      </c>
      <c r="C25" s="332">
        <v>249</v>
      </c>
      <c r="D25" s="332">
        <v>300</v>
      </c>
      <c r="E25" s="332">
        <v>260</v>
      </c>
      <c r="F25" s="332">
        <v>176.75</v>
      </c>
      <c r="G25" s="332">
        <v>232</v>
      </c>
      <c r="H25" s="332"/>
    </row>
    <row r="26" spans="1:9" s="105" customFormat="1" ht="14">
      <c r="A26" s="239"/>
      <c r="B26" s="273" t="s">
        <v>232</v>
      </c>
      <c r="C26" s="327">
        <v>238</v>
      </c>
      <c r="D26" s="327">
        <v>247.5</v>
      </c>
      <c r="E26" s="327">
        <v>272</v>
      </c>
      <c r="F26" s="327">
        <v>165</v>
      </c>
      <c r="G26" s="327">
        <v>234</v>
      </c>
      <c r="H26" s="327">
        <v>80.2</v>
      </c>
    </row>
    <row r="27" spans="1:9" s="105" customFormat="1" ht="14">
      <c r="A27" s="239"/>
      <c r="B27" s="273" t="s">
        <v>233</v>
      </c>
      <c r="C27" s="327">
        <v>240</v>
      </c>
      <c r="D27" s="327">
        <v>266.5</v>
      </c>
      <c r="E27" s="327">
        <v>248</v>
      </c>
      <c r="F27" s="327">
        <v>208.8</v>
      </c>
      <c r="G27" s="327">
        <v>215</v>
      </c>
      <c r="H27" s="327">
        <v>152</v>
      </c>
    </row>
    <row r="28" spans="1:9" s="105" customFormat="1" ht="14">
      <c r="A28" s="240"/>
      <c r="B28" s="274" t="s">
        <v>234</v>
      </c>
      <c r="C28" s="329">
        <v>245</v>
      </c>
      <c r="D28" s="329">
        <v>289</v>
      </c>
      <c r="E28" s="329">
        <v>250</v>
      </c>
      <c r="F28" s="329">
        <v>202.5</v>
      </c>
      <c r="G28" s="329">
        <v>210</v>
      </c>
      <c r="H28" s="329">
        <v>75</v>
      </c>
    </row>
    <row r="29" spans="1:9" s="105" customFormat="1" ht="14">
      <c r="A29" s="238">
        <v>2021</v>
      </c>
      <c r="B29" s="272" t="s">
        <v>231</v>
      </c>
      <c r="C29" s="332">
        <v>247</v>
      </c>
      <c r="D29" s="332">
        <v>282.5</v>
      </c>
      <c r="E29" s="332">
        <v>185</v>
      </c>
      <c r="F29" s="332">
        <v>215</v>
      </c>
      <c r="G29" s="332">
        <v>220</v>
      </c>
      <c r="H29" s="332">
        <v>150</v>
      </c>
    </row>
    <row r="30" spans="1:9" s="105" customFormat="1" ht="14">
      <c r="A30" s="239"/>
      <c r="B30" s="273" t="s">
        <v>232</v>
      </c>
      <c r="C30" s="540">
        <v>280</v>
      </c>
      <c r="D30" s="540">
        <v>300</v>
      </c>
      <c r="E30" s="540">
        <v>262</v>
      </c>
      <c r="F30" s="541">
        <v>210</v>
      </c>
      <c r="G30" s="541">
        <v>230</v>
      </c>
      <c r="H30" s="541">
        <v>145</v>
      </c>
    </row>
    <row r="31" spans="1:9" s="105" customFormat="1" ht="14">
      <c r="A31" s="239"/>
      <c r="B31" s="273" t="s">
        <v>233</v>
      </c>
      <c r="C31" s="541">
        <v>250</v>
      </c>
      <c r="D31" s="541">
        <v>258</v>
      </c>
      <c r="E31" s="541">
        <v>265</v>
      </c>
      <c r="F31" s="541">
        <v>215</v>
      </c>
      <c r="G31" s="541">
        <v>250</v>
      </c>
      <c r="H31" s="541"/>
    </row>
    <row r="32" spans="1:9" s="105" customFormat="1" ht="14">
      <c r="A32" s="240"/>
      <c r="B32" s="274" t="s">
        <v>234</v>
      </c>
      <c r="C32" s="542">
        <v>268</v>
      </c>
      <c r="D32" s="542">
        <v>295.8</v>
      </c>
      <c r="E32" s="543">
        <v>255</v>
      </c>
      <c r="F32" s="542">
        <v>219.4</v>
      </c>
      <c r="G32" s="543">
        <v>240</v>
      </c>
      <c r="H32" s="543">
        <v>187.5</v>
      </c>
    </row>
    <row r="33" spans="1:8" s="105" customFormat="1" ht="14">
      <c r="A33" s="238">
        <v>2022</v>
      </c>
      <c r="B33" s="272" t="s">
        <v>231</v>
      </c>
      <c r="C33" s="544">
        <v>246.5</v>
      </c>
      <c r="D33" s="544">
        <v>260</v>
      </c>
      <c r="E33" s="544">
        <v>260</v>
      </c>
      <c r="F33" s="544">
        <v>203</v>
      </c>
      <c r="G33" s="544">
        <v>216.5</v>
      </c>
      <c r="H33" s="544"/>
    </row>
    <row r="34" spans="1:8" s="105" customFormat="1" ht="14">
      <c r="A34" s="239"/>
      <c r="B34" s="273" t="s">
        <v>232</v>
      </c>
      <c r="C34" s="541">
        <v>249.5</v>
      </c>
      <c r="D34" s="541">
        <v>268</v>
      </c>
      <c r="E34" s="541">
        <v>254</v>
      </c>
      <c r="F34" s="541">
        <v>210</v>
      </c>
      <c r="G34" s="541">
        <v>265</v>
      </c>
      <c r="H34" s="541">
        <v>122</v>
      </c>
    </row>
    <row r="35" spans="1:8" s="105" customFormat="1" ht="14">
      <c r="A35" s="239"/>
      <c r="B35" s="273" t="s">
        <v>233</v>
      </c>
      <c r="C35" s="541">
        <v>255</v>
      </c>
      <c r="D35" s="541">
        <v>278</v>
      </c>
      <c r="E35" s="541">
        <v>260</v>
      </c>
      <c r="F35" s="541">
        <v>197</v>
      </c>
      <c r="G35" s="541">
        <v>316</v>
      </c>
      <c r="H35" s="541"/>
    </row>
    <row r="36" spans="1:8" s="105" customFormat="1" ht="14">
      <c r="A36" s="240"/>
      <c r="B36" s="274" t="s">
        <v>234</v>
      </c>
      <c r="C36" s="543">
        <v>260</v>
      </c>
      <c r="D36" s="543">
        <v>289</v>
      </c>
      <c r="E36" s="543">
        <v>280</v>
      </c>
      <c r="F36" s="543">
        <v>191</v>
      </c>
      <c r="G36" s="543">
        <v>230</v>
      </c>
      <c r="H36" s="543">
        <v>470</v>
      </c>
    </row>
    <row r="37" spans="1:8" s="105" customFormat="1" ht="14">
      <c r="A37" s="238">
        <v>2023</v>
      </c>
      <c r="B37" s="272" t="s">
        <v>231</v>
      </c>
      <c r="C37" s="544">
        <v>251</v>
      </c>
      <c r="D37" s="544">
        <v>278</v>
      </c>
      <c r="E37" s="544">
        <v>275</v>
      </c>
      <c r="F37" s="544">
        <v>213</v>
      </c>
      <c r="G37" s="544">
        <v>320</v>
      </c>
      <c r="H37" s="544">
        <v>65</v>
      </c>
    </row>
    <row r="38" spans="1:8" s="105" customFormat="1" ht="14">
      <c r="A38" s="239"/>
      <c r="B38" s="273" t="s">
        <v>232</v>
      </c>
      <c r="C38" s="541">
        <v>252</v>
      </c>
      <c r="D38" s="541">
        <v>300</v>
      </c>
      <c r="E38" s="541">
        <v>258</v>
      </c>
      <c r="F38" s="541">
        <v>200</v>
      </c>
      <c r="G38" s="541">
        <v>260</v>
      </c>
      <c r="H38" s="541">
        <v>165</v>
      </c>
    </row>
    <row r="39" spans="1:8" s="105" customFormat="1" ht="14">
      <c r="A39" s="239"/>
      <c r="B39" s="273" t="s">
        <v>233</v>
      </c>
      <c r="C39" s="541">
        <v>260</v>
      </c>
      <c r="D39" s="541">
        <v>288</v>
      </c>
      <c r="E39" s="541">
        <v>267.5</v>
      </c>
      <c r="F39" s="541">
        <v>213</v>
      </c>
      <c r="G39" s="541">
        <v>215</v>
      </c>
      <c r="H39" s="541"/>
    </row>
    <row r="40" spans="1:8" s="105" customFormat="1" ht="14">
      <c r="A40" s="240"/>
      <c r="B40" s="274" t="s">
        <v>234</v>
      </c>
      <c r="C40" s="543">
        <v>258</v>
      </c>
      <c r="D40" s="543">
        <v>272</v>
      </c>
      <c r="E40" s="543">
        <v>275.5</v>
      </c>
      <c r="F40" s="543">
        <v>202.5</v>
      </c>
      <c r="G40" s="543">
        <v>210</v>
      </c>
      <c r="H40" s="543"/>
    </row>
    <row r="41" spans="1:8" s="105" customFormat="1" ht="14">
      <c r="A41" s="238">
        <v>2024</v>
      </c>
      <c r="B41" s="272" t="s">
        <v>231</v>
      </c>
      <c r="C41" s="544">
        <v>247</v>
      </c>
      <c r="D41" s="544">
        <v>278</v>
      </c>
      <c r="E41" s="544">
        <v>246</v>
      </c>
      <c r="F41" s="544">
        <v>220</v>
      </c>
      <c r="G41" s="544">
        <v>235</v>
      </c>
      <c r="H41" s="544"/>
    </row>
    <row r="42" spans="1:8" s="105" customFormat="1" ht="14">
      <c r="A42" s="239"/>
      <c r="B42" s="273" t="s">
        <v>232</v>
      </c>
      <c r="C42" s="541">
        <v>250</v>
      </c>
      <c r="D42" s="541">
        <v>269</v>
      </c>
      <c r="E42" s="541">
        <v>285</v>
      </c>
      <c r="F42" s="541">
        <v>212</v>
      </c>
      <c r="G42" s="541"/>
      <c r="H42" s="541"/>
    </row>
    <row r="43" spans="1:8" s="105" customFormat="1" ht="14">
      <c r="A43" s="239"/>
      <c r="B43" s="273" t="s">
        <v>233</v>
      </c>
      <c r="C43" s="541">
        <v>249.8</v>
      </c>
      <c r="D43" s="541">
        <v>252.3</v>
      </c>
      <c r="E43" s="541">
        <v>262.5</v>
      </c>
      <c r="F43" s="541">
        <v>199</v>
      </c>
      <c r="G43" s="541">
        <v>305</v>
      </c>
      <c r="H43" s="541">
        <v>176</v>
      </c>
    </row>
    <row r="44" spans="1:8" s="105" customFormat="1" ht="14">
      <c r="A44" s="240"/>
      <c r="B44" s="274" t="s">
        <v>234</v>
      </c>
      <c r="C44" s="543">
        <v>240.5</v>
      </c>
      <c r="D44" s="543">
        <v>260</v>
      </c>
      <c r="E44" s="543">
        <v>218</v>
      </c>
      <c r="F44" s="543">
        <v>198</v>
      </c>
      <c r="G44" s="543">
        <v>287.5</v>
      </c>
      <c r="H44" s="543">
        <v>150</v>
      </c>
    </row>
    <row r="45" spans="1:8" s="105" customFormat="1" ht="14">
      <c r="A45" s="238">
        <v>2025</v>
      </c>
      <c r="B45" s="272" t="s">
        <v>231</v>
      </c>
      <c r="C45" s="544">
        <v>220</v>
      </c>
      <c r="D45" s="544">
        <v>230</v>
      </c>
      <c r="E45" s="544">
        <v>220</v>
      </c>
      <c r="F45" s="544">
        <v>215</v>
      </c>
      <c r="G45" s="544">
        <v>137</v>
      </c>
      <c r="H45" s="544">
        <v>39</v>
      </c>
    </row>
    <row r="46" spans="1:8" s="105" customFormat="1" ht="14">
      <c r="A46" s="239"/>
      <c r="B46" s="273" t="s">
        <v>232</v>
      </c>
      <c r="C46" s="541">
        <v>254.5</v>
      </c>
      <c r="D46" s="541">
        <v>276.5</v>
      </c>
      <c r="E46" s="541">
        <v>209</v>
      </c>
      <c r="F46" s="541">
        <v>235</v>
      </c>
      <c r="G46" s="541">
        <v>203</v>
      </c>
      <c r="H46" s="541">
        <v>110</v>
      </c>
    </row>
    <row r="47" spans="1:8" s="105" customFormat="1" ht="14">
      <c r="A47" s="239"/>
      <c r="B47" s="273" t="s">
        <v>233</v>
      </c>
      <c r="C47" s="541">
        <v>230</v>
      </c>
      <c r="D47" s="541">
        <v>240</v>
      </c>
      <c r="E47" s="541">
        <v>195</v>
      </c>
      <c r="F47" s="541">
        <v>195</v>
      </c>
      <c r="G47" s="541">
        <v>250</v>
      </c>
      <c r="H47" s="541">
        <v>70</v>
      </c>
    </row>
    <row r="48" spans="1:8" s="105" customFormat="1" ht="14">
      <c r="A48" s="240"/>
      <c r="B48" s="274" t="s">
        <v>234</v>
      </c>
      <c r="C48" s="543">
        <v>249.5</v>
      </c>
      <c r="D48" s="543">
        <v>268</v>
      </c>
      <c r="E48" s="543">
        <v>263</v>
      </c>
      <c r="F48" s="543">
        <v>200</v>
      </c>
      <c r="G48" s="543">
        <v>224.185</v>
      </c>
      <c r="H48" s="543">
        <v>265</v>
      </c>
    </row>
    <row r="49" spans="1:8">
      <c r="B49" s="67"/>
    </row>
    <row r="50" spans="1:8">
      <c r="A50" s="171" t="s">
        <v>118</v>
      </c>
      <c r="B50" s="89"/>
    </row>
    <row r="51" spans="1:8" ht="13.5" customHeight="1">
      <c r="A51" s="812" t="s">
        <v>410</v>
      </c>
      <c r="B51" s="812"/>
      <c r="C51" s="812"/>
      <c r="D51" s="812"/>
      <c r="E51" s="812"/>
      <c r="F51" s="812"/>
      <c r="G51" s="812"/>
      <c r="H51" s="812"/>
    </row>
    <row r="52" spans="1:8">
      <c r="A52" s="168" t="s">
        <v>168</v>
      </c>
    </row>
  </sheetData>
  <sheetProtection sheet="1" formatCells="0" insertColumns="0" insertRows="0" deleteColumns="0" deleteRows="0"/>
  <mergeCells count="5">
    <mergeCell ref="A2:H2"/>
    <mergeCell ref="A3:B4"/>
    <mergeCell ref="C3:H3"/>
    <mergeCell ref="F1:H1"/>
    <mergeCell ref="A51:H51"/>
  </mergeCells>
  <printOptions horizontalCentered="1"/>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AB89B-DDB7-4CF7-80E7-BE96299773E0}">
  <dimension ref="A1"/>
  <sheetViews>
    <sheetView showGridLines="0" topLeftCell="A4" zoomScaleNormal="100" workbookViewId="0">
      <selection activeCell="F44" sqref="F44"/>
    </sheetView>
  </sheetViews>
  <sheetFormatPr defaultRowHeight="14.5"/>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B54"/>
  <sheetViews>
    <sheetView zoomScaleNormal="100" workbookViewId="0">
      <pane ySplit="5" topLeftCell="A19" activePane="bottomLeft" state="frozen"/>
      <selection activeCell="J154" sqref="J154"/>
      <selection pane="bottomLeft" activeCell="I48" sqref="I48"/>
    </sheetView>
  </sheetViews>
  <sheetFormatPr defaultColWidth="9.1796875" defaultRowHeight="13"/>
  <cols>
    <col min="1" max="1" width="7.453125" style="65" customWidth="1"/>
    <col min="2" max="2" width="8.1796875" style="65" customWidth="1"/>
    <col min="3" max="27" width="11.54296875" style="65" customWidth="1"/>
    <col min="28" max="16384" width="9.1796875" style="65"/>
  </cols>
  <sheetData>
    <row r="1" spans="1:27" ht="15.5">
      <c r="A1" s="523" t="s">
        <v>300</v>
      </c>
    </row>
    <row r="2" spans="1:27" ht="14">
      <c r="A2" s="768" t="s">
        <v>287</v>
      </c>
      <c r="B2" s="768"/>
      <c r="C2" s="768"/>
      <c r="D2" s="768"/>
      <c r="E2" s="768"/>
      <c r="F2" s="768"/>
      <c r="G2" s="768"/>
      <c r="H2" s="768"/>
      <c r="I2" s="768"/>
      <c r="J2" s="768"/>
      <c r="K2" s="768"/>
      <c r="L2" s="768"/>
      <c r="M2" s="768"/>
      <c r="N2" s="768"/>
      <c r="O2" s="768"/>
      <c r="P2" s="768"/>
      <c r="Q2" s="768"/>
      <c r="R2" s="768"/>
      <c r="S2" s="768"/>
      <c r="T2" s="768"/>
      <c r="U2" s="768"/>
      <c r="V2" s="768"/>
      <c r="W2" s="768"/>
      <c r="X2" s="768"/>
      <c r="Y2" s="768"/>
      <c r="Z2" s="768"/>
      <c r="AA2" s="768"/>
    </row>
    <row r="3" spans="1:27" s="105" customFormat="1" ht="23.25" customHeight="1">
      <c r="A3" s="804" t="s">
        <v>98</v>
      </c>
      <c r="B3" s="805"/>
      <c r="C3" s="816" t="s">
        <v>301</v>
      </c>
      <c r="D3" s="817"/>
      <c r="E3" s="817"/>
      <c r="F3" s="817"/>
      <c r="G3" s="817"/>
      <c r="H3" s="817"/>
      <c r="I3" s="817"/>
      <c r="J3" s="817"/>
      <c r="K3" s="817"/>
      <c r="L3" s="817"/>
      <c r="M3" s="817"/>
      <c r="N3" s="817"/>
      <c r="O3" s="817"/>
      <c r="P3" s="817"/>
      <c r="Q3" s="817"/>
      <c r="R3" s="817"/>
      <c r="S3" s="817"/>
      <c r="T3" s="817"/>
      <c r="U3" s="817"/>
      <c r="V3" s="817"/>
      <c r="W3" s="817"/>
      <c r="X3" s="817"/>
      <c r="Y3" s="817"/>
      <c r="Z3" s="817"/>
      <c r="AA3" s="818"/>
    </row>
    <row r="4" spans="1:27" s="105" customFormat="1" ht="23.25" customHeight="1">
      <c r="A4" s="814"/>
      <c r="B4" s="815"/>
      <c r="C4" s="545"/>
      <c r="D4" s="816" t="s">
        <v>302</v>
      </c>
      <c r="E4" s="817"/>
      <c r="F4" s="817"/>
      <c r="G4" s="817"/>
      <c r="H4" s="817"/>
      <c r="I4" s="817"/>
      <c r="J4" s="816" t="s">
        <v>303</v>
      </c>
      <c r="K4" s="819"/>
      <c r="L4" s="819"/>
      <c r="M4" s="819"/>
      <c r="N4" s="819"/>
      <c r="O4" s="820"/>
      <c r="P4" s="816" t="s">
        <v>304</v>
      </c>
      <c r="Q4" s="819"/>
      <c r="R4" s="819"/>
      <c r="S4" s="819"/>
      <c r="T4" s="819"/>
      <c r="U4" s="820"/>
      <c r="V4" s="821" t="s">
        <v>305</v>
      </c>
      <c r="W4" s="822"/>
      <c r="X4" s="822"/>
      <c r="Y4" s="822"/>
      <c r="Z4" s="822"/>
      <c r="AA4" s="822"/>
    </row>
    <row r="5" spans="1:27" s="105" customFormat="1" ht="31.5" customHeight="1">
      <c r="A5" s="806"/>
      <c r="B5" s="807"/>
      <c r="C5" s="524" t="s">
        <v>299</v>
      </c>
      <c r="D5" s="524" t="s">
        <v>299</v>
      </c>
      <c r="E5" s="525" t="s">
        <v>289</v>
      </c>
      <c r="F5" s="525" t="s">
        <v>306</v>
      </c>
      <c r="G5" s="525" t="s">
        <v>291</v>
      </c>
      <c r="H5" s="525" t="s">
        <v>292</v>
      </c>
      <c r="I5" s="546" t="s">
        <v>293</v>
      </c>
      <c r="J5" s="547" t="s">
        <v>299</v>
      </c>
      <c r="K5" s="548" t="s">
        <v>289</v>
      </c>
      <c r="L5" s="525" t="s">
        <v>306</v>
      </c>
      <c r="M5" s="525" t="s">
        <v>291</v>
      </c>
      <c r="N5" s="525" t="s">
        <v>292</v>
      </c>
      <c r="O5" s="546" t="s">
        <v>293</v>
      </c>
      <c r="P5" s="547" t="s">
        <v>299</v>
      </c>
      <c r="Q5" s="548" t="s">
        <v>289</v>
      </c>
      <c r="R5" s="525" t="s">
        <v>306</v>
      </c>
      <c r="S5" s="525" t="s">
        <v>291</v>
      </c>
      <c r="T5" s="525" t="s">
        <v>292</v>
      </c>
      <c r="U5" s="546" t="s">
        <v>293</v>
      </c>
      <c r="V5" s="547" t="s">
        <v>299</v>
      </c>
      <c r="W5" s="548" t="s">
        <v>289</v>
      </c>
      <c r="X5" s="525" t="s">
        <v>306</v>
      </c>
      <c r="Y5" s="525" t="s">
        <v>291</v>
      </c>
      <c r="Z5" s="525" t="s">
        <v>292</v>
      </c>
      <c r="AA5" s="525" t="s">
        <v>293</v>
      </c>
    </row>
    <row r="6" spans="1:27" s="105" customFormat="1" ht="14.5" customHeight="1">
      <c r="A6" s="239">
        <v>2015</v>
      </c>
      <c r="B6" s="247" t="s">
        <v>231</v>
      </c>
      <c r="C6" s="549">
        <f t="shared" ref="C6:C18" si="0">D6+J6+P6+V6</f>
        <v>131</v>
      </c>
      <c r="D6" s="549">
        <f t="shared" ref="D6:D18" si="1">SUM(E6:I6)</f>
        <v>119</v>
      </c>
      <c r="E6" s="550">
        <v>40</v>
      </c>
      <c r="F6" s="549">
        <v>23</v>
      </c>
      <c r="G6" s="549">
        <v>24</v>
      </c>
      <c r="H6" s="551">
        <v>32</v>
      </c>
      <c r="I6" s="549">
        <v>0</v>
      </c>
      <c r="J6" s="550">
        <f t="shared" ref="J6:J17" si="2">SUM(K6:O6)</f>
        <v>0</v>
      </c>
      <c r="K6" s="549">
        <v>0</v>
      </c>
      <c r="L6" s="549">
        <v>0</v>
      </c>
      <c r="M6" s="549">
        <v>0</v>
      </c>
      <c r="N6" s="549">
        <v>0</v>
      </c>
      <c r="O6" s="549">
        <v>0</v>
      </c>
      <c r="P6" s="550">
        <f t="shared" ref="P6:P17" si="3">SUM(Q6:U6)</f>
        <v>12</v>
      </c>
      <c r="Q6" s="549">
        <v>4</v>
      </c>
      <c r="R6" s="549">
        <v>1</v>
      </c>
      <c r="S6" s="549">
        <v>1</v>
      </c>
      <c r="T6" s="549">
        <v>6</v>
      </c>
      <c r="U6" s="549">
        <v>0</v>
      </c>
      <c r="V6" s="550">
        <f t="shared" ref="V6:V17" si="4">SUM(W6:AA6)</f>
        <v>0</v>
      </c>
      <c r="W6" s="549">
        <v>0</v>
      </c>
      <c r="X6" s="549">
        <v>0</v>
      </c>
      <c r="Y6" s="549">
        <v>0</v>
      </c>
      <c r="Z6" s="549">
        <v>0</v>
      </c>
      <c r="AA6" s="549">
        <v>0</v>
      </c>
    </row>
    <row r="7" spans="1:27" s="105" customFormat="1" ht="14.5" customHeight="1">
      <c r="A7" s="239"/>
      <c r="B7" s="251" t="s">
        <v>232</v>
      </c>
      <c r="C7" s="550">
        <f t="shared" si="0"/>
        <v>153</v>
      </c>
      <c r="D7" s="550">
        <f t="shared" si="1"/>
        <v>143</v>
      </c>
      <c r="E7" s="550">
        <v>52</v>
      </c>
      <c r="F7" s="550">
        <v>32</v>
      </c>
      <c r="G7" s="550">
        <v>21</v>
      </c>
      <c r="H7" s="550">
        <v>35</v>
      </c>
      <c r="I7" s="550">
        <v>3</v>
      </c>
      <c r="J7" s="550">
        <f t="shared" si="2"/>
        <v>1</v>
      </c>
      <c r="K7" s="550">
        <v>0</v>
      </c>
      <c r="L7" s="550">
        <v>0</v>
      </c>
      <c r="M7" s="550">
        <v>0</v>
      </c>
      <c r="N7" s="550">
        <v>0</v>
      </c>
      <c r="O7" s="550">
        <v>1</v>
      </c>
      <c r="P7" s="550">
        <f t="shared" si="3"/>
        <v>9</v>
      </c>
      <c r="Q7" s="550">
        <v>3</v>
      </c>
      <c r="R7" s="550">
        <v>1</v>
      </c>
      <c r="S7" s="550">
        <v>2</v>
      </c>
      <c r="T7" s="550">
        <v>3</v>
      </c>
      <c r="U7" s="550">
        <v>0</v>
      </c>
      <c r="V7" s="550">
        <f t="shared" si="4"/>
        <v>0</v>
      </c>
      <c r="W7" s="550">
        <v>0</v>
      </c>
      <c r="X7" s="550">
        <v>0</v>
      </c>
      <c r="Y7" s="550">
        <v>0</v>
      </c>
      <c r="Z7" s="550">
        <v>0</v>
      </c>
      <c r="AA7" s="550">
        <v>0</v>
      </c>
    </row>
    <row r="8" spans="1:27" s="105" customFormat="1" ht="14.5" customHeight="1">
      <c r="A8" s="239"/>
      <c r="B8" s="251" t="s">
        <v>233</v>
      </c>
      <c r="C8" s="550">
        <f t="shared" si="0"/>
        <v>72</v>
      </c>
      <c r="D8" s="550">
        <f t="shared" si="1"/>
        <v>63</v>
      </c>
      <c r="E8" s="550">
        <v>28</v>
      </c>
      <c r="F8" s="550">
        <v>8</v>
      </c>
      <c r="G8" s="550">
        <v>17</v>
      </c>
      <c r="H8" s="550">
        <v>7</v>
      </c>
      <c r="I8" s="550">
        <v>3</v>
      </c>
      <c r="J8" s="550">
        <f t="shared" si="2"/>
        <v>3</v>
      </c>
      <c r="K8" s="550">
        <v>2</v>
      </c>
      <c r="L8" s="550">
        <v>1</v>
      </c>
      <c r="M8" s="550">
        <v>0</v>
      </c>
      <c r="N8" s="550">
        <v>0</v>
      </c>
      <c r="O8" s="550">
        <v>0</v>
      </c>
      <c r="P8" s="550">
        <f t="shared" si="3"/>
        <v>5</v>
      </c>
      <c r="Q8" s="550">
        <v>0</v>
      </c>
      <c r="R8" s="550">
        <v>1</v>
      </c>
      <c r="S8" s="550">
        <v>1</v>
      </c>
      <c r="T8" s="550">
        <v>2</v>
      </c>
      <c r="U8" s="550">
        <v>1</v>
      </c>
      <c r="V8" s="550">
        <f t="shared" si="4"/>
        <v>1</v>
      </c>
      <c r="W8" s="550">
        <v>1</v>
      </c>
      <c r="X8" s="550">
        <v>0</v>
      </c>
      <c r="Y8" s="550">
        <v>0</v>
      </c>
      <c r="Z8" s="550">
        <v>0</v>
      </c>
      <c r="AA8" s="550">
        <v>0</v>
      </c>
    </row>
    <row r="9" spans="1:27" s="105" customFormat="1" ht="14.5" customHeight="1">
      <c r="A9" s="240"/>
      <c r="B9" s="252" t="s">
        <v>234</v>
      </c>
      <c r="C9" s="552">
        <f t="shared" si="0"/>
        <v>42</v>
      </c>
      <c r="D9" s="552">
        <f t="shared" si="1"/>
        <v>38</v>
      </c>
      <c r="E9" s="552">
        <v>16</v>
      </c>
      <c r="F9" s="552">
        <v>6</v>
      </c>
      <c r="G9" s="552">
        <v>10</v>
      </c>
      <c r="H9" s="552">
        <v>4</v>
      </c>
      <c r="I9" s="552">
        <v>2</v>
      </c>
      <c r="J9" s="552">
        <f t="shared" si="2"/>
        <v>0</v>
      </c>
      <c r="K9" s="552">
        <v>0</v>
      </c>
      <c r="L9" s="552">
        <v>0</v>
      </c>
      <c r="M9" s="552">
        <v>0</v>
      </c>
      <c r="N9" s="552">
        <v>0</v>
      </c>
      <c r="O9" s="552">
        <v>0</v>
      </c>
      <c r="P9" s="552">
        <f t="shared" si="3"/>
        <v>3</v>
      </c>
      <c r="Q9" s="552">
        <v>1</v>
      </c>
      <c r="R9" s="552">
        <v>0</v>
      </c>
      <c r="S9" s="552">
        <v>0</v>
      </c>
      <c r="T9" s="552">
        <v>2</v>
      </c>
      <c r="U9" s="552">
        <v>0</v>
      </c>
      <c r="V9" s="552">
        <f t="shared" si="4"/>
        <v>1</v>
      </c>
      <c r="W9" s="552">
        <v>0</v>
      </c>
      <c r="X9" s="552">
        <v>0</v>
      </c>
      <c r="Y9" s="552">
        <v>0</v>
      </c>
      <c r="Z9" s="552">
        <v>0</v>
      </c>
      <c r="AA9" s="552">
        <v>1</v>
      </c>
    </row>
    <row r="10" spans="1:27" s="105" customFormat="1" ht="14.5" customHeight="1">
      <c r="A10" s="239">
        <v>2016</v>
      </c>
      <c r="B10" s="247" t="s">
        <v>231</v>
      </c>
      <c r="C10" s="549">
        <f t="shared" si="0"/>
        <v>97</v>
      </c>
      <c r="D10" s="549">
        <f t="shared" si="1"/>
        <v>91</v>
      </c>
      <c r="E10" s="550">
        <v>40</v>
      </c>
      <c r="F10" s="549">
        <v>26</v>
      </c>
      <c r="G10" s="549">
        <v>18</v>
      </c>
      <c r="H10" s="551">
        <v>6</v>
      </c>
      <c r="I10" s="549">
        <v>1</v>
      </c>
      <c r="J10" s="550">
        <f t="shared" si="2"/>
        <v>1</v>
      </c>
      <c r="K10" s="549">
        <v>1</v>
      </c>
      <c r="L10" s="549">
        <v>0</v>
      </c>
      <c r="M10" s="549">
        <v>0</v>
      </c>
      <c r="N10" s="549">
        <v>0</v>
      </c>
      <c r="O10" s="549">
        <v>0</v>
      </c>
      <c r="P10" s="550">
        <f t="shared" si="3"/>
        <v>5</v>
      </c>
      <c r="Q10" s="549">
        <v>0</v>
      </c>
      <c r="R10" s="549">
        <v>1</v>
      </c>
      <c r="S10" s="549">
        <v>3</v>
      </c>
      <c r="T10" s="549">
        <v>0</v>
      </c>
      <c r="U10" s="549">
        <v>1</v>
      </c>
      <c r="V10" s="550">
        <f t="shared" si="4"/>
        <v>0</v>
      </c>
      <c r="W10" s="549">
        <v>0</v>
      </c>
      <c r="X10" s="549">
        <v>0</v>
      </c>
      <c r="Y10" s="549">
        <v>0</v>
      </c>
      <c r="Z10" s="549">
        <v>0</v>
      </c>
      <c r="AA10" s="549">
        <v>0</v>
      </c>
    </row>
    <row r="11" spans="1:27" s="105" customFormat="1" ht="14.5" customHeight="1">
      <c r="A11" s="239"/>
      <c r="B11" s="251" t="s">
        <v>232</v>
      </c>
      <c r="C11" s="550">
        <f t="shared" si="0"/>
        <v>75</v>
      </c>
      <c r="D11" s="550">
        <f t="shared" si="1"/>
        <v>62</v>
      </c>
      <c r="E11" s="550">
        <v>35</v>
      </c>
      <c r="F11" s="550">
        <v>12</v>
      </c>
      <c r="G11" s="550">
        <v>13</v>
      </c>
      <c r="H11" s="550">
        <v>1</v>
      </c>
      <c r="I11" s="550">
        <v>1</v>
      </c>
      <c r="J11" s="550">
        <f t="shared" si="2"/>
        <v>6</v>
      </c>
      <c r="K11" s="550">
        <v>5</v>
      </c>
      <c r="L11" s="550">
        <v>0</v>
      </c>
      <c r="M11" s="550">
        <v>0</v>
      </c>
      <c r="N11" s="550">
        <v>0</v>
      </c>
      <c r="O11" s="550">
        <v>1</v>
      </c>
      <c r="P11" s="550">
        <f t="shared" si="3"/>
        <v>7</v>
      </c>
      <c r="Q11" s="550">
        <v>0</v>
      </c>
      <c r="R11" s="550">
        <v>2</v>
      </c>
      <c r="S11" s="550">
        <v>3</v>
      </c>
      <c r="T11" s="550">
        <v>2</v>
      </c>
      <c r="U11" s="550">
        <v>0</v>
      </c>
      <c r="V11" s="550">
        <f t="shared" si="4"/>
        <v>0</v>
      </c>
      <c r="W11" s="550">
        <v>0</v>
      </c>
      <c r="X11" s="550">
        <v>0</v>
      </c>
      <c r="Y11" s="550">
        <v>0</v>
      </c>
      <c r="Z11" s="550">
        <v>0</v>
      </c>
      <c r="AA11" s="550">
        <v>0</v>
      </c>
    </row>
    <row r="12" spans="1:27" s="105" customFormat="1" ht="14.5" customHeight="1">
      <c r="A12" s="239"/>
      <c r="B12" s="251" t="s">
        <v>233</v>
      </c>
      <c r="C12" s="550">
        <f t="shared" si="0"/>
        <v>100</v>
      </c>
      <c r="D12" s="550">
        <f t="shared" si="1"/>
        <v>88</v>
      </c>
      <c r="E12" s="550">
        <v>52</v>
      </c>
      <c r="F12" s="550">
        <v>19</v>
      </c>
      <c r="G12" s="550">
        <v>8</v>
      </c>
      <c r="H12" s="550">
        <v>5</v>
      </c>
      <c r="I12" s="550">
        <v>4</v>
      </c>
      <c r="J12" s="550">
        <f t="shared" si="2"/>
        <v>7</v>
      </c>
      <c r="K12" s="550">
        <v>2</v>
      </c>
      <c r="L12" s="550">
        <v>2</v>
      </c>
      <c r="M12" s="550">
        <v>1</v>
      </c>
      <c r="N12" s="550">
        <v>0</v>
      </c>
      <c r="O12" s="550">
        <v>2</v>
      </c>
      <c r="P12" s="550">
        <f t="shared" si="3"/>
        <v>5</v>
      </c>
      <c r="Q12" s="550">
        <v>1</v>
      </c>
      <c r="R12" s="550">
        <v>2</v>
      </c>
      <c r="S12" s="550">
        <v>0</v>
      </c>
      <c r="T12" s="550">
        <v>2</v>
      </c>
      <c r="U12" s="550">
        <v>0</v>
      </c>
      <c r="V12" s="550">
        <f t="shared" si="4"/>
        <v>0</v>
      </c>
      <c r="W12" s="550">
        <v>0</v>
      </c>
      <c r="X12" s="550">
        <v>0</v>
      </c>
      <c r="Y12" s="550">
        <v>0</v>
      </c>
      <c r="Z12" s="550">
        <v>0</v>
      </c>
      <c r="AA12" s="550">
        <v>0</v>
      </c>
    </row>
    <row r="13" spans="1:27" s="105" customFormat="1" ht="14.5" customHeight="1">
      <c r="A13" s="240"/>
      <c r="B13" s="252" t="s">
        <v>234</v>
      </c>
      <c r="C13" s="552">
        <f t="shared" si="0"/>
        <v>106</v>
      </c>
      <c r="D13" s="552">
        <f t="shared" si="1"/>
        <v>90</v>
      </c>
      <c r="E13" s="552">
        <v>41</v>
      </c>
      <c r="F13" s="552">
        <v>21</v>
      </c>
      <c r="G13" s="552">
        <v>19</v>
      </c>
      <c r="H13" s="552">
        <v>5</v>
      </c>
      <c r="I13" s="552">
        <v>4</v>
      </c>
      <c r="J13" s="552">
        <f t="shared" si="2"/>
        <v>6</v>
      </c>
      <c r="K13" s="552">
        <v>3</v>
      </c>
      <c r="L13" s="552">
        <v>1</v>
      </c>
      <c r="M13" s="552">
        <v>1</v>
      </c>
      <c r="N13" s="552">
        <v>0</v>
      </c>
      <c r="O13" s="552">
        <v>1</v>
      </c>
      <c r="P13" s="552">
        <f t="shared" si="3"/>
        <v>9</v>
      </c>
      <c r="Q13" s="552">
        <v>2</v>
      </c>
      <c r="R13" s="552">
        <v>0</v>
      </c>
      <c r="S13" s="552">
        <v>1</v>
      </c>
      <c r="T13" s="552">
        <v>6</v>
      </c>
      <c r="U13" s="552">
        <v>0</v>
      </c>
      <c r="V13" s="552">
        <f t="shared" si="4"/>
        <v>1</v>
      </c>
      <c r="W13" s="552">
        <v>0</v>
      </c>
      <c r="X13" s="552">
        <v>0</v>
      </c>
      <c r="Y13" s="552">
        <v>0</v>
      </c>
      <c r="Z13" s="552">
        <v>0</v>
      </c>
      <c r="AA13" s="552">
        <v>1</v>
      </c>
    </row>
    <row r="14" spans="1:27" s="105" customFormat="1" ht="14.5" customHeight="1">
      <c r="A14" s="238">
        <v>2017</v>
      </c>
      <c r="B14" s="247" t="s">
        <v>231</v>
      </c>
      <c r="C14" s="549">
        <f t="shared" si="0"/>
        <v>84</v>
      </c>
      <c r="D14" s="549">
        <f t="shared" si="1"/>
        <v>71</v>
      </c>
      <c r="E14" s="549">
        <v>33</v>
      </c>
      <c r="F14" s="549">
        <v>18</v>
      </c>
      <c r="G14" s="549">
        <v>14</v>
      </c>
      <c r="H14" s="549">
        <v>5</v>
      </c>
      <c r="I14" s="549">
        <v>1</v>
      </c>
      <c r="J14" s="549">
        <f t="shared" si="2"/>
        <v>4</v>
      </c>
      <c r="K14" s="549">
        <v>2</v>
      </c>
      <c r="L14" s="549">
        <v>0</v>
      </c>
      <c r="M14" s="549">
        <v>2</v>
      </c>
      <c r="N14" s="549">
        <v>0</v>
      </c>
      <c r="O14" s="549">
        <v>0</v>
      </c>
      <c r="P14" s="549">
        <f t="shared" si="3"/>
        <v>9</v>
      </c>
      <c r="Q14" s="549">
        <v>1</v>
      </c>
      <c r="R14" s="549">
        <v>0</v>
      </c>
      <c r="S14" s="549">
        <v>7</v>
      </c>
      <c r="T14" s="549">
        <v>1</v>
      </c>
      <c r="U14" s="549">
        <v>0</v>
      </c>
      <c r="V14" s="549">
        <f t="shared" si="4"/>
        <v>0</v>
      </c>
      <c r="W14" s="549">
        <v>0</v>
      </c>
      <c r="X14" s="549">
        <v>0</v>
      </c>
      <c r="Y14" s="549">
        <v>0</v>
      </c>
      <c r="Z14" s="549">
        <v>0</v>
      </c>
      <c r="AA14" s="549">
        <v>0</v>
      </c>
    </row>
    <row r="15" spans="1:27" s="105" customFormat="1" ht="14.5" customHeight="1">
      <c r="A15" s="241"/>
      <c r="B15" s="251" t="s">
        <v>232</v>
      </c>
      <c r="C15" s="550">
        <f t="shared" si="0"/>
        <v>72</v>
      </c>
      <c r="D15" s="550">
        <f t="shared" si="1"/>
        <v>62</v>
      </c>
      <c r="E15" s="550">
        <v>34</v>
      </c>
      <c r="F15" s="550">
        <v>10</v>
      </c>
      <c r="G15" s="550">
        <v>9</v>
      </c>
      <c r="H15" s="550">
        <v>9</v>
      </c>
      <c r="I15" s="550">
        <v>0</v>
      </c>
      <c r="J15" s="550">
        <f t="shared" si="2"/>
        <v>4</v>
      </c>
      <c r="K15" s="550">
        <v>2</v>
      </c>
      <c r="L15" s="550">
        <v>1</v>
      </c>
      <c r="M15" s="550">
        <v>0</v>
      </c>
      <c r="N15" s="550">
        <v>0</v>
      </c>
      <c r="O15" s="550">
        <v>1</v>
      </c>
      <c r="P15" s="550">
        <f t="shared" si="3"/>
        <v>6</v>
      </c>
      <c r="Q15" s="550">
        <v>3</v>
      </c>
      <c r="R15" s="550">
        <v>0</v>
      </c>
      <c r="S15" s="550">
        <v>2</v>
      </c>
      <c r="T15" s="550">
        <v>1</v>
      </c>
      <c r="U15" s="550">
        <v>0</v>
      </c>
      <c r="V15" s="550">
        <f t="shared" si="4"/>
        <v>0</v>
      </c>
      <c r="W15" s="550">
        <v>0</v>
      </c>
      <c r="X15" s="550">
        <v>0</v>
      </c>
      <c r="Y15" s="550">
        <v>0</v>
      </c>
      <c r="Z15" s="550">
        <v>0</v>
      </c>
      <c r="AA15" s="550">
        <v>0</v>
      </c>
    </row>
    <row r="16" spans="1:27" s="105" customFormat="1" ht="14.5" customHeight="1">
      <c r="A16" s="239"/>
      <c r="B16" s="251" t="s">
        <v>233</v>
      </c>
      <c r="C16" s="550">
        <f t="shared" si="0"/>
        <v>104</v>
      </c>
      <c r="D16" s="550">
        <f t="shared" si="1"/>
        <v>71</v>
      </c>
      <c r="E16" s="550">
        <v>41</v>
      </c>
      <c r="F16" s="550">
        <v>7</v>
      </c>
      <c r="G16" s="550">
        <v>9</v>
      </c>
      <c r="H16" s="550">
        <v>11</v>
      </c>
      <c r="I16" s="550">
        <v>3</v>
      </c>
      <c r="J16" s="550">
        <f t="shared" si="2"/>
        <v>25</v>
      </c>
      <c r="K16" s="550">
        <v>5</v>
      </c>
      <c r="L16" s="550">
        <v>1</v>
      </c>
      <c r="M16" s="550">
        <v>19</v>
      </c>
      <c r="N16" s="550">
        <v>0</v>
      </c>
      <c r="O16" s="550">
        <v>0</v>
      </c>
      <c r="P16" s="550">
        <f t="shared" si="3"/>
        <v>7</v>
      </c>
      <c r="Q16" s="550">
        <v>1</v>
      </c>
      <c r="R16" s="550">
        <v>1</v>
      </c>
      <c r="S16" s="550">
        <v>2</v>
      </c>
      <c r="T16" s="550">
        <v>3</v>
      </c>
      <c r="U16" s="550">
        <v>0</v>
      </c>
      <c r="V16" s="550">
        <f t="shared" si="4"/>
        <v>1</v>
      </c>
      <c r="W16" s="550">
        <v>1</v>
      </c>
      <c r="X16" s="550">
        <v>0</v>
      </c>
      <c r="Y16" s="550">
        <v>0</v>
      </c>
      <c r="Z16" s="550">
        <v>0</v>
      </c>
      <c r="AA16" s="550">
        <v>0</v>
      </c>
    </row>
    <row r="17" spans="1:28" s="105" customFormat="1" ht="14.5" customHeight="1">
      <c r="A17" s="242"/>
      <c r="B17" s="252" t="s">
        <v>234</v>
      </c>
      <c r="C17" s="552">
        <f t="shared" si="0"/>
        <v>97</v>
      </c>
      <c r="D17" s="552">
        <f t="shared" si="1"/>
        <v>74</v>
      </c>
      <c r="E17" s="552">
        <v>46</v>
      </c>
      <c r="F17" s="552">
        <v>7</v>
      </c>
      <c r="G17" s="552">
        <v>13</v>
      </c>
      <c r="H17" s="552">
        <v>8</v>
      </c>
      <c r="I17" s="552">
        <v>0</v>
      </c>
      <c r="J17" s="552">
        <f t="shared" si="2"/>
        <v>11</v>
      </c>
      <c r="K17" s="552">
        <v>7</v>
      </c>
      <c r="L17" s="552">
        <v>1</v>
      </c>
      <c r="M17" s="552">
        <v>3</v>
      </c>
      <c r="N17" s="552">
        <v>0</v>
      </c>
      <c r="O17" s="552">
        <v>0</v>
      </c>
      <c r="P17" s="552">
        <f t="shared" si="3"/>
        <v>12</v>
      </c>
      <c r="Q17" s="552">
        <v>5</v>
      </c>
      <c r="R17" s="552">
        <v>2</v>
      </c>
      <c r="S17" s="552">
        <v>4</v>
      </c>
      <c r="T17" s="552">
        <v>0</v>
      </c>
      <c r="U17" s="552">
        <v>1</v>
      </c>
      <c r="V17" s="552">
        <f t="shared" si="4"/>
        <v>0</v>
      </c>
      <c r="W17" s="552">
        <v>0</v>
      </c>
      <c r="X17" s="552">
        <v>0</v>
      </c>
      <c r="Y17" s="552">
        <v>0</v>
      </c>
      <c r="Z17" s="552">
        <v>0</v>
      </c>
      <c r="AA17" s="552">
        <v>0</v>
      </c>
    </row>
    <row r="18" spans="1:28" s="105" customFormat="1" ht="14.5" customHeight="1">
      <c r="A18" s="238">
        <v>2018</v>
      </c>
      <c r="B18" s="272" t="s">
        <v>231</v>
      </c>
      <c r="C18" s="549">
        <f t="shared" si="0"/>
        <v>92</v>
      </c>
      <c r="D18" s="549">
        <f t="shared" si="1"/>
        <v>72</v>
      </c>
      <c r="E18" s="549">
        <v>41</v>
      </c>
      <c r="F18" s="549">
        <v>13</v>
      </c>
      <c r="G18" s="549">
        <v>12</v>
      </c>
      <c r="H18" s="549">
        <v>4</v>
      </c>
      <c r="I18" s="549">
        <v>2</v>
      </c>
      <c r="J18" s="549">
        <f>SUM(K18:O18)</f>
        <v>14</v>
      </c>
      <c r="K18" s="549">
        <v>3</v>
      </c>
      <c r="L18" s="549">
        <v>2</v>
      </c>
      <c r="M18" s="549">
        <v>7</v>
      </c>
      <c r="N18" s="549">
        <v>0</v>
      </c>
      <c r="O18" s="549">
        <v>2</v>
      </c>
      <c r="P18" s="549">
        <f>SUM(Q18:U18)</f>
        <v>6</v>
      </c>
      <c r="Q18" s="549">
        <v>3</v>
      </c>
      <c r="R18" s="549">
        <v>0</v>
      </c>
      <c r="S18" s="549">
        <v>1</v>
      </c>
      <c r="T18" s="549">
        <v>2</v>
      </c>
      <c r="U18" s="549">
        <v>0</v>
      </c>
      <c r="V18" s="549">
        <f>SUM(W18:AA18)</f>
        <v>0</v>
      </c>
      <c r="W18" s="549">
        <v>0</v>
      </c>
      <c r="X18" s="549">
        <v>0</v>
      </c>
      <c r="Y18" s="549">
        <v>0</v>
      </c>
      <c r="Z18" s="549">
        <v>0</v>
      </c>
      <c r="AA18" s="553">
        <v>0</v>
      </c>
    </row>
    <row r="19" spans="1:28" s="105" customFormat="1" ht="14.5" customHeight="1">
      <c r="A19" s="239"/>
      <c r="B19" s="273" t="s">
        <v>232</v>
      </c>
      <c r="C19" s="550">
        <f>D19+J19+P19+V19</f>
        <v>84</v>
      </c>
      <c r="D19" s="550">
        <f>SUM(E19:I19)</f>
        <v>61</v>
      </c>
      <c r="E19" s="550">
        <v>34</v>
      </c>
      <c r="F19" s="550">
        <v>11</v>
      </c>
      <c r="G19" s="550">
        <v>11</v>
      </c>
      <c r="H19" s="550">
        <v>4</v>
      </c>
      <c r="I19" s="550">
        <v>1</v>
      </c>
      <c r="J19" s="550">
        <f>SUM(K19:O19)</f>
        <v>12</v>
      </c>
      <c r="K19" s="550">
        <v>4</v>
      </c>
      <c r="L19" s="550">
        <v>3</v>
      </c>
      <c r="M19" s="550">
        <v>5</v>
      </c>
      <c r="N19" s="550">
        <v>0</v>
      </c>
      <c r="O19" s="550">
        <v>0</v>
      </c>
      <c r="P19" s="550">
        <f>SUM(Q19:U19)</f>
        <v>11</v>
      </c>
      <c r="Q19" s="550">
        <v>5</v>
      </c>
      <c r="R19" s="550">
        <v>4</v>
      </c>
      <c r="S19" s="550">
        <v>2</v>
      </c>
      <c r="T19" s="550">
        <v>0</v>
      </c>
      <c r="U19" s="550">
        <v>0</v>
      </c>
      <c r="V19" s="550">
        <f>SUM(W19:AA19)</f>
        <v>0</v>
      </c>
      <c r="W19" s="550">
        <v>0</v>
      </c>
      <c r="X19" s="550">
        <v>0</v>
      </c>
      <c r="Y19" s="550">
        <v>0</v>
      </c>
      <c r="Z19" s="550">
        <v>0</v>
      </c>
      <c r="AA19" s="554">
        <v>0</v>
      </c>
    </row>
    <row r="20" spans="1:28" s="105" customFormat="1" ht="14.5" customHeight="1">
      <c r="A20" s="239"/>
      <c r="B20" s="251" t="s">
        <v>233</v>
      </c>
      <c r="C20" s="550">
        <v>110</v>
      </c>
      <c r="D20" s="550">
        <v>83</v>
      </c>
      <c r="E20" s="550">
        <v>52</v>
      </c>
      <c r="F20" s="550">
        <v>15</v>
      </c>
      <c r="G20" s="550">
        <v>13</v>
      </c>
      <c r="H20" s="550">
        <v>2</v>
      </c>
      <c r="I20" s="550">
        <v>1</v>
      </c>
      <c r="J20" s="550">
        <v>16</v>
      </c>
      <c r="K20" s="550">
        <v>6</v>
      </c>
      <c r="L20" s="550">
        <v>5</v>
      </c>
      <c r="M20" s="550">
        <v>5</v>
      </c>
      <c r="N20" s="550">
        <v>0</v>
      </c>
      <c r="O20" s="550">
        <v>0</v>
      </c>
      <c r="P20" s="550">
        <v>11</v>
      </c>
      <c r="Q20" s="550">
        <v>5</v>
      </c>
      <c r="R20" s="550">
        <v>5</v>
      </c>
      <c r="S20" s="550">
        <v>0</v>
      </c>
      <c r="T20" s="550">
        <v>1</v>
      </c>
      <c r="U20" s="550">
        <v>0</v>
      </c>
      <c r="V20" s="550">
        <v>0</v>
      </c>
      <c r="W20" s="550">
        <v>0</v>
      </c>
      <c r="X20" s="550">
        <v>0</v>
      </c>
      <c r="Y20" s="550">
        <v>0</v>
      </c>
      <c r="Z20" s="550">
        <v>0</v>
      </c>
      <c r="AA20" s="554">
        <v>0</v>
      </c>
    </row>
    <row r="21" spans="1:28" s="105" customFormat="1" ht="14.5" customHeight="1">
      <c r="A21" s="240"/>
      <c r="B21" s="252" t="s">
        <v>234</v>
      </c>
      <c r="C21" s="552">
        <v>129</v>
      </c>
      <c r="D21" s="552">
        <v>97</v>
      </c>
      <c r="E21" s="552">
        <v>60</v>
      </c>
      <c r="F21" s="552">
        <v>12</v>
      </c>
      <c r="G21" s="552">
        <v>18</v>
      </c>
      <c r="H21" s="552">
        <v>6</v>
      </c>
      <c r="I21" s="552">
        <v>1</v>
      </c>
      <c r="J21" s="552">
        <v>18</v>
      </c>
      <c r="K21" s="552">
        <v>7</v>
      </c>
      <c r="L21" s="552">
        <v>5</v>
      </c>
      <c r="M21" s="552">
        <v>6</v>
      </c>
      <c r="N21" s="552">
        <v>0</v>
      </c>
      <c r="O21" s="552">
        <v>0</v>
      </c>
      <c r="P21" s="552">
        <v>14</v>
      </c>
      <c r="Q21" s="552">
        <v>6</v>
      </c>
      <c r="R21" s="552">
        <v>3</v>
      </c>
      <c r="S21" s="552">
        <v>1</v>
      </c>
      <c r="T21" s="552">
        <v>4</v>
      </c>
      <c r="U21" s="552">
        <v>0</v>
      </c>
      <c r="V21" s="552">
        <v>0</v>
      </c>
      <c r="W21" s="552">
        <v>0</v>
      </c>
      <c r="X21" s="552">
        <v>0</v>
      </c>
      <c r="Y21" s="552">
        <v>0</v>
      </c>
      <c r="Z21" s="552">
        <v>0</v>
      </c>
      <c r="AA21" s="555">
        <v>0</v>
      </c>
    </row>
    <row r="22" spans="1:28" s="105" customFormat="1" ht="14.5" customHeight="1">
      <c r="A22" s="238">
        <v>2019</v>
      </c>
      <c r="B22" s="272" t="s">
        <v>231</v>
      </c>
      <c r="C22" s="549">
        <f t="shared" ref="C22:C27" si="5">D22+J22+P22+V22</f>
        <v>115</v>
      </c>
      <c r="D22" s="549">
        <f>SUM(E22:I22)</f>
        <v>83</v>
      </c>
      <c r="E22" s="549">
        <v>48</v>
      </c>
      <c r="F22" s="549">
        <v>19</v>
      </c>
      <c r="G22" s="549">
        <v>10</v>
      </c>
      <c r="H22" s="549">
        <v>6</v>
      </c>
      <c r="I22" s="549">
        <v>0</v>
      </c>
      <c r="J22" s="549">
        <f>SUM(K22:O22)</f>
        <v>24</v>
      </c>
      <c r="K22" s="549">
        <v>10</v>
      </c>
      <c r="L22" s="549">
        <v>1</v>
      </c>
      <c r="M22" s="549">
        <v>13</v>
      </c>
      <c r="N22" s="549">
        <v>0</v>
      </c>
      <c r="O22" s="549">
        <v>0</v>
      </c>
      <c r="P22" s="549">
        <f>SUM(Q22:U22)</f>
        <v>8</v>
      </c>
      <c r="Q22" s="549">
        <v>3</v>
      </c>
      <c r="R22" s="549">
        <v>3</v>
      </c>
      <c r="S22" s="549">
        <v>2</v>
      </c>
      <c r="T22" s="549">
        <v>0</v>
      </c>
      <c r="U22" s="549">
        <v>0</v>
      </c>
      <c r="V22" s="549">
        <f>SUM(W22:AA22)</f>
        <v>0</v>
      </c>
      <c r="W22" s="549">
        <v>0</v>
      </c>
      <c r="X22" s="549">
        <v>0</v>
      </c>
      <c r="Y22" s="549">
        <v>0</v>
      </c>
      <c r="Z22" s="549">
        <v>0</v>
      </c>
      <c r="AA22" s="549">
        <v>0</v>
      </c>
    </row>
    <row r="23" spans="1:28" s="105" customFormat="1" ht="14.5" customHeight="1">
      <c r="A23" s="239"/>
      <c r="B23" s="273" t="s">
        <v>232</v>
      </c>
      <c r="C23" s="550">
        <f t="shared" si="5"/>
        <v>123</v>
      </c>
      <c r="D23" s="550">
        <v>103</v>
      </c>
      <c r="E23" s="550">
        <v>53</v>
      </c>
      <c r="F23" s="550">
        <v>20</v>
      </c>
      <c r="G23" s="550">
        <v>25</v>
      </c>
      <c r="H23" s="550">
        <v>3</v>
      </c>
      <c r="I23" s="550">
        <v>2</v>
      </c>
      <c r="J23" s="550">
        <v>8</v>
      </c>
      <c r="K23" s="550">
        <v>4</v>
      </c>
      <c r="L23" s="550">
        <v>1</v>
      </c>
      <c r="M23" s="550">
        <v>3</v>
      </c>
      <c r="N23" s="550">
        <v>0</v>
      </c>
      <c r="O23" s="550">
        <v>0</v>
      </c>
      <c r="P23" s="550">
        <v>12</v>
      </c>
      <c r="Q23" s="550">
        <v>4</v>
      </c>
      <c r="R23" s="550">
        <v>3</v>
      </c>
      <c r="S23" s="550">
        <v>2</v>
      </c>
      <c r="T23" s="550">
        <v>3</v>
      </c>
      <c r="U23" s="550">
        <v>0</v>
      </c>
      <c r="V23" s="550">
        <v>0</v>
      </c>
      <c r="W23" s="550">
        <v>0</v>
      </c>
      <c r="X23" s="550">
        <v>0</v>
      </c>
      <c r="Y23" s="550">
        <v>0</v>
      </c>
      <c r="Z23" s="550">
        <v>0</v>
      </c>
      <c r="AA23" s="550">
        <v>0</v>
      </c>
    </row>
    <row r="24" spans="1:28" s="105" customFormat="1" ht="14.5" customHeight="1">
      <c r="A24" s="239"/>
      <c r="B24" s="273" t="s">
        <v>233</v>
      </c>
      <c r="C24" s="556">
        <f t="shared" si="5"/>
        <v>107</v>
      </c>
      <c r="D24" s="556">
        <f t="shared" ref="D24:D29" si="6">SUM(E24:I24)</f>
        <v>91</v>
      </c>
      <c r="E24" s="556">
        <v>51</v>
      </c>
      <c r="F24" s="556">
        <v>12</v>
      </c>
      <c r="G24" s="550">
        <v>17</v>
      </c>
      <c r="H24" s="556">
        <v>10</v>
      </c>
      <c r="I24" s="550">
        <v>1</v>
      </c>
      <c r="J24" s="550">
        <f t="shared" ref="J24:J49" si="7">SUM(K24:O24)</f>
        <v>3</v>
      </c>
      <c r="K24" s="550">
        <v>2</v>
      </c>
      <c r="L24" s="550">
        <v>1</v>
      </c>
      <c r="M24" s="550">
        <v>0</v>
      </c>
      <c r="N24" s="550">
        <v>0</v>
      </c>
      <c r="O24" s="550">
        <v>0</v>
      </c>
      <c r="P24" s="550">
        <f t="shared" ref="P24:P49" si="8">SUM(Q24:U24)</f>
        <v>13</v>
      </c>
      <c r="Q24" s="550">
        <v>5</v>
      </c>
      <c r="R24" s="550">
        <v>5</v>
      </c>
      <c r="S24" s="550">
        <v>3</v>
      </c>
      <c r="T24" s="550">
        <v>0</v>
      </c>
      <c r="U24" s="550">
        <v>0</v>
      </c>
      <c r="V24" s="550">
        <f t="shared" ref="V24:V49" si="9">SUM(W24:AA24)</f>
        <v>0</v>
      </c>
      <c r="W24" s="550">
        <v>0</v>
      </c>
      <c r="X24" s="550">
        <v>0</v>
      </c>
      <c r="Y24" s="550">
        <v>0</v>
      </c>
      <c r="Z24" s="550">
        <v>0</v>
      </c>
      <c r="AA24" s="550">
        <v>0</v>
      </c>
      <c r="AB24" s="112"/>
    </row>
    <row r="25" spans="1:28" s="105" customFormat="1" ht="14.5" customHeight="1">
      <c r="A25" s="240"/>
      <c r="B25" s="274" t="s">
        <v>234</v>
      </c>
      <c r="C25" s="552">
        <f t="shared" si="5"/>
        <v>111</v>
      </c>
      <c r="D25" s="552">
        <f t="shared" si="6"/>
        <v>89</v>
      </c>
      <c r="E25" s="552">
        <v>38</v>
      </c>
      <c r="F25" s="552">
        <v>20</v>
      </c>
      <c r="G25" s="552">
        <v>19</v>
      </c>
      <c r="H25" s="552">
        <v>12</v>
      </c>
      <c r="I25" s="552">
        <v>0</v>
      </c>
      <c r="J25" s="552">
        <f t="shared" si="7"/>
        <v>8</v>
      </c>
      <c r="K25" s="552">
        <v>5</v>
      </c>
      <c r="L25" s="552">
        <v>2</v>
      </c>
      <c r="M25" s="552">
        <v>1</v>
      </c>
      <c r="N25" s="552">
        <v>0</v>
      </c>
      <c r="O25" s="552">
        <v>0</v>
      </c>
      <c r="P25" s="552">
        <f t="shared" si="8"/>
        <v>14</v>
      </c>
      <c r="Q25" s="552">
        <v>7</v>
      </c>
      <c r="R25" s="552">
        <v>5</v>
      </c>
      <c r="S25" s="552">
        <v>1</v>
      </c>
      <c r="T25" s="552">
        <v>1</v>
      </c>
      <c r="U25" s="552">
        <v>0</v>
      </c>
      <c r="V25" s="552">
        <f t="shared" si="9"/>
        <v>0</v>
      </c>
      <c r="W25" s="552">
        <v>0</v>
      </c>
      <c r="X25" s="552">
        <v>0</v>
      </c>
      <c r="Y25" s="552">
        <v>0</v>
      </c>
      <c r="Z25" s="552">
        <v>0</v>
      </c>
      <c r="AA25" s="552">
        <v>0</v>
      </c>
    </row>
    <row r="26" spans="1:28" s="105" customFormat="1" ht="14.5" customHeight="1">
      <c r="A26" s="238">
        <v>2020</v>
      </c>
      <c r="B26" s="272" t="s">
        <v>231</v>
      </c>
      <c r="C26" s="549">
        <f t="shared" si="5"/>
        <v>76</v>
      </c>
      <c r="D26" s="549">
        <f t="shared" si="6"/>
        <v>61</v>
      </c>
      <c r="E26" s="549">
        <v>20</v>
      </c>
      <c r="F26" s="549">
        <v>19</v>
      </c>
      <c r="G26" s="549">
        <v>9</v>
      </c>
      <c r="H26" s="549">
        <v>13</v>
      </c>
      <c r="I26" s="549">
        <v>0</v>
      </c>
      <c r="J26" s="549">
        <f t="shared" si="7"/>
        <v>4</v>
      </c>
      <c r="K26" s="549">
        <v>1</v>
      </c>
      <c r="L26" s="549">
        <v>1</v>
      </c>
      <c r="M26" s="549">
        <v>2</v>
      </c>
      <c r="N26" s="549">
        <v>0</v>
      </c>
      <c r="O26" s="549">
        <v>0</v>
      </c>
      <c r="P26" s="549">
        <f t="shared" si="8"/>
        <v>11</v>
      </c>
      <c r="Q26" s="549">
        <v>2</v>
      </c>
      <c r="R26" s="549">
        <v>5</v>
      </c>
      <c r="S26" s="549">
        <v>3</v>
      </c>
      <c r="T26" s="549">
        <v>1</v>
      </c>
      <c r="U26" s="549">
        <v>0</v>
      </c>
      <c r="V26" s="549">
        <f t="shared" si="9"/>
        <v>0</v>
      </c>
      <c r="W26" s="549">
        <v>0</v>
      </c>
      <c r="X26" s="549">
        <v>0</v>
      </c>
      <c r="Y26" s="549">
        <v>0</v>
      </c>
      <c r="Z26" s="549">
        <v>0</v>
      </c>
      <c r="AA26" s="549">
        <v>0</v>
      </c>
    </row>
    <row r="27" spans="1:28" s="105" customFormat="1" ht="14.5" customHeight="1">
      <c r="A27" s="239"/>
      <c r="B27" s="273" t="s">
        <v>232</v>
      </c>
      <c r="C27" s="550">
        <f t="shared" si="5"/>
        <v>115</v>
      </c>
      <c r="D27" s="550">
        <f t="shared" si="6"/>
        <v>98</v>
      </c>
      <c r="E27" s="550">
        <v>40</v>
      </c>
      <c r="F27" s="550">
        <v>27</v>
      </c>
      <c r="G27" s="550">
        <v>17</v>
      </c>
      <c r="H27" s="550">
        <v>11</v>
      </c>
      <c r="I27" s="550">
        <v>3</v>
      </c>
      <c r="J27" s="550">
        <f t="shared" si="7"/>
        <v>9</v>
      </c>
      <c r="K27" s="550">
        <v>6</v>
      </c>
      <c r="L27" s="550">
        <v>2</v>
      </c>
      <c r="M27" s="550">
        <v>0</v>
      </c>
      <c r="N27" s="550">
        <v>0</v>
      </c>
      <c r="O27" s="550">
        <v>1</v>
      </c>
      <c r="P27" s="550">
        <f t="shared" si="8"/>
        <v>7</v>
      </c>
      <c r="Q27" s="550">
        <v>3</v>
      </c>
      <c r="R27" s="550">
        <v>1</v>
      </c>
      <c r="S27" s="550">
        <v>2</v>
      </c>
      <c r="T27" s="550">
        <v>1</v>
      </c>
      <c r="U27" s="550">
        <v>0</v>
      </c>
      <c r="V27" s="550">
        <f t="shared" si="9"/>
        <v>1</v>
      </c>
      <c r="W27" s="550">
        <v>1</v>
      </c>
      <c r="X27" s="550">
        <v>0</v>
      </c>
      <c r="Y27" s="550">
        <v>0</v>
      </c>
      <c r="Z27" s="550">
        <v>0</v>
      </c>
      <c r="AA27" s="550">
        <v>0</v>
      </c>
    </row>
    <row r="28" spans="1:28" s="105" customFormat="1" ht="14.5" customHeight="1">
      <c r="A28" s="239"/>
      <c r="B28" s="273" t="s">
        <v>233</v>
      </c>
      <c r="C28" s="550">
        <f t="shared" ref="C28:C38" si="10">D28+J28+P28+V28</f>
        <v>182</v>
      </c>
      <c r="D28" s="550">
        <f t="shared" si="6"/>
        <v>143</v>
      </c>
      <c r="E28" s="550">
        <v>81</v>
      </c>
      <c r="F28" s="550">
        <v>24</v>
      </c>
      <c r="G28" s="550">
        <v>26</v>
      </c>
      <c r="H28" s="550">
        <v>7</v>
      </c>
      <c r="I28" s="550">
        <v>5</v>
      </c>
      <c r="J28" s="550">
        <f t="shared" si="7"/>
        <v>13</v>
      </c>
      <c r="K28" s="550">
        <v>9</v>
      </c>
      <c r="L28" s="550">
        <v>3</v>
      </c>
      <c r="M28" s="550">
        <v>0</v>
      </c>
      <c r="N28" s="550">
        <v>0</v>
      </c>
      <c r="O28" s="550">
        <v>1</v>
      </c>
      <c r="P28" s="550">
        <f t="shared" si="8"/>
        <v>25</v>
      </c>
      <c r="Q28" s="550">
        <v>8</v>
      </c>
      <c r="R28" s="550">
        <v>8</v>
      </c>
      <c r="S28" s="550">
        <v>5</v>
      </c>
      <c r="T28" s="550">
        <v>4</v>
      </c>
      <c r="U28" s="550">
        <v>0</v>
      </c>
      <c r="V28" s="550">
        <f t="shared" si="9"/>
        <v>1</v>
      </c>
      <c r="W28" s="550">
        <v>0</v>
      </c>
      <c r="X28" s="550">
        <v>0</v>
      </c>
      <c r="Y28" s="550">
        <v>0</v>
      </c>
      <c r="Z28" s="550">
        <v>0</v>
      </c>
      <c r="AA28" s="550">
        <v>1</v>
      </c>
    </row>
    <row r="29" spans="1:28" s="105" customFormat="1" ht="14.5" customHeight="1">
      <c r="A29" s="240"/>
      <c r="B29" s="274" t="s">
        <v>234</v>
      </c>
      <c r="C29" s="552">
        <f t="shared" si="10"/>
        <v>131</v>
      </c>
      <c r="D29" s="552">
        <f t="shared" si="6"/>
        <v>108</v>
      </c>
      <c r="E29" s="552">
        <v>60</v>
      </c>
      <c r="F29" s="552">
        <v>24</v>
      </c>
      <c r="G29" s="552">
        <v>19</v>
      </c>
      <c r="H29" s="552">
        <v>4</v>
      </c>
      <c r="I29" s="552">
        <v>1</v>
      </c>
      <c r="J29" s="552">
        <f t="shared" si="7"/>
        <v>10</v>
      </c>
      <c r="K29" s="552">
        <v>7</v>
      </c>
      <c r="L29" s="552">
        <v>0</v>
      </c>
      <c r="M29" s="552">
        <v>2</v>
      </c>
      <c r="N29" s="552">
        <v>0</v>
      </c>
      <c r="O29" s="552">
        <v>1</v>
      </c>
      <c r="P29" s="552">
        <f t="shared" si="8"/>
        <v>11</v>
      </c>
      <c r="Q29" s="552">
        <v>3</v>
      </c>
      <c r="R29" s="552">
        <v>2</v>
      </c>
      <c r="S29" s="552">
        <v>3</v>
      </c>
      <c r="T29" s="552">
        <v>1</v>
      </c>
      <c r="U29" s="552">
        <v>2</v>
      </c>
      <c r="V29" s="552">
        <f t="shared" si="9"/>
        <v>2</v>
      </c>
      <c r="W29" s="552">
        <v>0</v>
      </c>
      <c r="X29" s="552">
        <v>0</v>
      </c>
      <c r="Y29" s="552">
        <v>0</v>
      </c>
      <c r="Z29" s="552">
        <v>0</v>
      </c>
      <c r="AA29" s="552">
        <v>2</v>
      </c>
    </row>
    <row r="30" spans="1:28" s="105" customFormat="1" ht="14.5" customHeight="1">
      <c r="A30" s="238">
        <v>2021</v>
      </c>
      <c r="B30" s="272" t="s">
        <v>231</v>
      </c>
      <c r="C30" s="549">
        <f t="shared" si="10"/>
        <v>112</v>
      </c>
      <c r="D30" s="549">
        <f t="shared" ref="D30:D38" si="11">SUM(E30:I30)</f>
        <v>90</v>
      </c>
      <c r="E30" s="549">
        <v>55</v>
      </c>
      <c r="F30" s="549">
        <v>16</v>
      </c>
      <c r="G30" s="549">
        <v>8</v>
      </c>
      <c r="H30" s="549">
        <v>8</v>
      </c>
      <c r="I30" s="549">
        <v>3</v>
      </c>
      <c r="J30" s="549">
        <f t="shared" si="7"/>
        <v>9</v>
      </c>
      <c r="K30" s="549">
        <v>5</v>
      </c>
      <c r="L30" s="549">
        <v>4</v>
      </c>
      <c r="M30" s="549">
        <v>0</v>
      </c>
      <c r="N30" s="549">
        <v>0</v>
      </c>
      <c r="O30" s="549">
        <v>0</v>
      </c>
      <c r="P30" s="549">
        <f t="shared" si="8"/>
        <v>11</v>
      </c>
      <c r="Q30" s="549">
        <v>6</v>
      </c>
      <c r="R30" s="549">
        <v>3</v>
      </c>
      <c r="S30" s="549">
        <v>1</v>
      </c>
      <c r="T30" s="549">
        <v>1</v>
      </c>
      <c r="U30" s="549">
        <v>0</v>
      </c>
      <c r="V30" s="549">
        <f t="shared" si="9"/>
        <v>2</v>
      </c>
      <c r="W30" s="549">
        <v>2</v>
      </c>
      <c r="X30" s="549">
        <v>0</v>
      </c>
      <c r="Y30" s="549">
        <v>0</v>
      </c>
      <c r="Z30" s="549">
        <v>0</v>
      </c>
      <c r="AA30" s="549">
        <v>0</v>
      </c>
    </row>
    <row r="31" spans="1:28" s="105" customFormat="1" ht="14.5" customHeight="1">
      <c r="A31" s="239"/>
      <c r="B31" s="273" t="s">
        <v>232</v>
      </c>
      <c r="C31" s="557">
        <f t="shared" si="10"/>
        <v>103</v>
      </c>
      <c r="D31" s="557">
        <f t="shared" si="11"/>
        <v>80</v>
      </c>
      <c r="E31" s="557">
        <v>54</v>
      </c>
      <c r="F31" s="557">
        <v>14</v>
      </c>
      <c r="G31" s="558">
        <v>6</v>
      </c>
      <c r="H31" s="558">
        <v>4</v>
      </c>
      <c r="I31" s="558">
        <v>2</v>
      </c>
      <c r="J31" s="558">
        <f t="shared" si="7"/>
        <v>6</v>
      </c>
      <c r="K31" s="558">
        <v>3</v>
      </c>
      <c r="L31" s="558">
        <v>2</v>
      </c>
      <c r="M31" s="558">
        <v>0</v>
      </c>
      <c r="N31" s="558">
        <v>1</v>
      </c>
      <c r="O31" s="558">
        <v>0</v>
      </c>
      <c r="P31" s="558">
        <f t="shared" si="8"/>
        <v>16</v>
      </c>
      <c r="Q31" s="558">
        <v>10</v>
      </c>
      <c r="R31" s="558">
        <v>4</v>
      </c>
      <c r="S31" s="558">
        <v>1</v>
      </c>
      <c r="T31" s="558">
        <v>0</v>
      </c>
      <c r="U31" s="558">
        <v>1</v>
      </c>
      <c r="V31" s="558">
        <f t="shared" si="9"/>
        <v>1</v>
      </c>
      <c r="W31" s="558">
        <v>1</v>
      </c>
      <c r="X31" s="558">
        <v>0</v>
      </c>
      <c r="Y31" s="558">
        <v>0</v>
      </c>
      <c r="Z31" s="558">
        <v>0</v>
      </c>
      <c r="AA31" s="558">
        <v>0</v>
      </c>
    </row>
    <row r="32" spans="1:28" s="105" customFormat="1" ht="14.5" customHeight="1">
      <c r="A32" s="239"/>
      <c r="B32" s="273" t="s">
        <v>233</v>
      </c>
      <c r="C32" s="557">
        <f t="shared" si="10"/>
        <v>130</v>
      </c>
      <c r="D32" s="557">
        <f t="shared" si="11"/>
        <v>114</v>
      </c>
      <c r="E32" s="557">
        <v>74</v>
      </c>
      <c r="F32" s="558">
        <v>23</v>
      </c>
      <c r="G32" s="558">
        <v>12</v>
      </c>
      <c r="H32" s="557">
        <v>5</v>
      </c>
      <c r="I32" s="558">
        <v>0</v>
      </c>
      <c r="J32" s="558">
        <f t="shared" si="7"/>
        <v>8</v>
      </c>
      <c r="K32" s="558">
        <v>6</v>
      </c>
      <c r="L32" s="558">
        <v>0</v>
      </c>
      <c r="M32" s="558">
        <v>2</v>
      </c>
      <c r="N32" s="558">
        <v>0</v>
      </c>
      <c r="O32" s="558">
        <v>0</v>
      </c>
      <c r="P32" s="558">
        <f t="shared" si="8"/>
        <v>8</v>
      </c>
      <c r="Q32" s="558">
        <v>2</v>
      </c>
      <c r="R32" s="558">
        <v>5</v>
      </c>
      <c r="S32" s="558">
        <v>1</v>
      </c>
      <c r="T32" s="558">
        <v>0</v>
      </c>
      <c r="U32" s="558">
        <v>0</v>
      </c>
      <c r="V32" s="558">
        <f t="shared" si="9"/>
        <v>0</v>
      </c>
      <c r="W32" s="558">
        <v>0</v>
      </c>
      <c r="X32" s="558">
        <v>0</v>
      </c>
      <c r="Y32" s="558">
        <v>0</v>
      </c>
      <c r="Z32" s="558">
        <v>0</v>
      </c>
      <c r="AA32" s="558">
        <v>0</v>
      </c>
    </row>
    <row r="33" spans="1:27" s="105" customFormat="1" ht="14.5" customHeight="1">
      <c r="A33" s="240"/>
      <c r="B33" s="274" t="s">
        <v>234</v>
      </c>
      <c r="C33" s="559">
        <f t="shared" si="10"/>
        <v>128</v>
      </c>
      <c r="D33" s="559">
        <f t="shared" si="11"/>
        <v>102</v>
      </c>
      <c r="E33" s="559">
        <v>60</v>
      </c>
      <c r="F33" s="560">
        <v>13</v>
      </c>
      <c r="G33" s="560">
        <v>20</v>
      </c>
      <c r="H33" s="560">
        <v>7</v>
      </c>
      <c r="I33" s="560">
        <v>2</v>
      </c>
      <c r="J33" s="560">
        <f t="shared" si="7"/>
        <v>14</v>
      </c>
      <c r="K33" s="560">
        <v>11</v>
      </c>
      <c r="L33" s="560">
        <v>1</v>
      </c>
      <c r="M33" s="560">
        <v>2</v>
      </c>
      <c r="N33" s="560">
        <v>0</v>
      </c>
      <c r="O33" s="560">
        <v>0</v>
      </c>
      <c r="P33" s="560">
        <f t="shared" si="8"/>
        <v>12</v>
      </c>
      <c r="Q33" s="560">
        <v>9</v>
      </c>
      <c r="R33" s="560">
        <v>1</v>
      </c>
      <c r="S33" s="560">
        <v>2</v>
      </c>
      <c r="T33" s="560">
        <v>0</v>
      </c>
      <c r="U33" s="560">
        <v>0</v>
      </c>
      <c r="V33" s="560">
        <f t="shared" si="9"/>
        <v>0</v>
      </c>
      <c r="W33" s="560">
        <v>0</v>
      </c>
      <c r="X33" s="561">
        <v>0</v>
      </c>
      <c r="Y33" s="560">
        <v>0</v>
      </c>
      <c r="Z33" s="562">
        <v>0</v>
      </c>
      <c r="AA33" s="560">
        <v>0</v>
      </c>
    </row>
    <row r="34" spans="1:27" s="105" customFormat="1" ht="14.5" customHeight="1">
      <c r="A34" s="238">
        <v>2022</v>
      </c>
      <c r="B34" s="272" t="s">
        <v>231</v>
      </c>
      <c r="C34" s="563">
        <f t="shared" si="10"/>
        <v>124</v>
      </c>
      <c r="D34" s="563">
        <f t="shared" si="11"/>
        <v>100</v>
      </c>
      <c r="E34" s="563">
        <v>66</v>
      </c>
      <c r="F34" s="563">
        <v>11</v>
      </c>
      <c r="G34" s="563">
        <v>20</v>
      </c>
      <c r="H34" s="563">
        <v>3</v>
      </c>
      <c r="I34" s="563">
        <v>0</v>
      </c>
      <c r="J34" s="563">
        <f t="shared" si="7"/>
        <v>6</v>
      </c>
      <c r="K34" s="563">
        <v>5</v>
      </c>
      <c r="L34" s="563">
        <v>0</v>
      </c>
      <c r="M34" s="563">
        <v>0</v>
      </c>
      <c r="N34" s="563">
        <v>1</v>
      </c>
      <c r="O34" s="563">
        <v>0</v>
      </c>
      <c r="P34" s="563">
        <f t="shared" si="8"/>
        <v>17</v>
      </c>
      <c r="Q34" s="563">
        <v>10</v>
      </c>
      <c r="R34" s="563">
        <v>5</v>
      </c>
      <c r="S34" s="563">
        <v>2</v>
      </c>
      <c r="T34" s="563">
        <v>0</v>
      </c>
      <c r="U34" s="563">
        <v>0</v>
      </c>
      <c r="V34" s="563">
        <f t="shared" si="9"/>
        <v>1</v>
      </c>
      <c r="W34" s="563">
        <v>1</v>
      </c>
      <c r="X34" s="563">
        <v>0</v>
      </c>
      <c r="Y34" s="563">
        <v>0</v>
      </c>
      <c r="Z34" s="563">
        <v>0</v>
      </c>
      <c r="AA34" s="563">
        <v>0</v>
      </c>
    </row>
    <row r="35" spans="1:27" s="105" customFormat="1" ht="14.5" customHeight="1">
      <c r="A35" s="239"/>
      <c r="B35" s="273" t="s">
        <v>232</v>
      </c>
      <c r="C35" s="558">
        <f t="shared" si="10"/>
        <v>130</v>
      </c>
      <c r="D35" s="558">
        <f t="shared" si="11"/>
        <v>106</v>
      </c>
      <c r="E35" s="558">
        <v>57</v>
      </c>
      <c r="F35" s="558">
        <v>19</v>
      </c>
      <c r="G35" s="558">
        <v>22</v>
      </c>
      <c r="H35" s="558">
        <v>5</v>
      </c>
      <c r="I35" s="558">
        <v>3</v>
      </c>
      <c r="J35" s="558">
        <f t="shared" si="7"/>
        <v>13</v>
      </c>
      <c r="K35" s="558">
        <v>10</v>
      </c>
      <c r="L35" s="558">
        <v>2</v>
      </c>
      <c r="M35" s="558">
        <v>1</v>
      </c>
      <c r="N35" s="558">
        <v>0</v>
      </c>
      <c r="O35" s="558">
        <v>0</v>
      </c>
      <c r="P35" s="558">
        <f t="shared" si="8"/>
        <v>11</v>
      </c>
      <c r="Q35" s="558">
        <v>4</v>
      </c>
      <c r="R35" s="558">
        <v>3</v>
      </c>
      <c r="S35" s="558">
        <v>2</v>
      </c>
      <c r="T35" s="558">
        <v>2</v>
      </c>
      <c r="U35" s="558">
        <v>0</v>
      </c>
      <c r="V35" s="558">
        <f t="shared" si="9"/>
        <v>0</v>
      </c>
      <c r="W35" s="558">
        <v>0</v>
      </c>
      <c r="X35" s="558">
        <v>0</v>
      </c>
      <c r="Y35" s="558">
        <v>0</v>
      </c>
      <c r="Z35" s="558">
        <v>0</v>
      </c>
      <c r="AA35" s="558">
        <v>0</v>
      </c>
    </row>
    <row r="36" spans="1:27" s="105" customFormat="1" ht="14.5" customHeight="1">
      <c r="A36" s="239"/>
      <c r="B36" s="273" t="s">
        <v>233</v>
      </c>
      <c r="C36" s="558">
        <f t="shared" si="10"/>
        <v>135</v>
      </c>
      <c r="D36" s="558">
        <f t="shared" si="11"/>
        <v>109</v>
      </c>
      <c r="E36" s="558">
        <v>63</v>
      </c>
      <c r="F36" s="558">
        <v>16</v>
      </c>
      <c r="G36" s="558">
        <v>28</v>
      </c>
      <c r="H36" s="558">
        <v>2</v>
      </c>
      <c r="I36" s="558">
        <v>0</v>
      </c>
      <c r="J36" s="558">
        <f t="shared" si="7"/>
        <v>15</v>
      </c>
      <c r="K36" s="558">
        <v>11</v>
      </c>
      <c r="L36" s="558">
        <v>2</v>
      </c>
      <c r="M36" s="558">
        <v>2</v>
      </c>
      <c r="N36" s="558">
        <v>0</v>
      </c>
      <c r="O36" s="558">
        <v>0</v>
      </c>
      <c r="P36" s="558">
        <f t="shared" si="8"/>
        <v>11</v>
      </c>
      <c r="Q36" s="558">
        <v>5</v>
      </c>
      <c r="R36" s="558">
        <v>5</v>
      </c>
      <c r="S36" s="558">
        <v>1</v>
      </c>
      <c r="T36" s="558">
        <v>0</v>
      </c>
      <c r="U36" s="558">
        <v>0</v>
      </c>
      <c r="V36" s="558">
        <f t="shared" si="9"/>
        <v>0</v>
      </c>
      <c r="W36" s="558">
        <v>0</v>
      </c>
      <c r="X36" s="558">
        <v>0</v>
      </c>
      <c r="Y36" s="558">
        <v>0</v>
      </c>
      <c r="Z36" s="558">
        <v>0</v>
      </c>
      <c r="AA36" s="558">
        <v>0</v>
      </c>
    </row>
    <row r="37" spans="1:27" s="105" customFormat="1" ht="14.5" customHeight="1">
      <c r="A37" s="240"/>
      <c r="B37" s="274" t="s">
        <v>234</v>
      </c>
      <c r="C37" s="560">
        <f t="shared" si="10"/>
        <v>135</v>
      </c>
      <c r="D37" s="560">
        <f t="shared" si="11"/>
        <v>101</v>
      </c>
      <c r="E37" s="560">
        <v>65</v>
      </c>
      <c r="F37" s="560">
        <v>14</v>
      </c>
      <c r="G37" s="560">
        <v>15</v>
      </c>
      <c r="H37" s="560">
        <v>6</v>
      </c>
      <c r="I37" s="560">
        <v>1</v>
      </c>
      <c r="J37" s="560">
        <f t="shared" si="7"/>
        <v>10</v>
      </c>
      <c r="K37" s="560">
        <v>8</v>
      </c>
      <c r="L37" s="560">
        <v>0</v>
      </c>
      <c r="M37" s="560">
        <v>2</v>
      </c>
      <c r="N37" s="560">
        <v>0</v>
      </c>
      <c r="O37" s="560">
        <v>0</v>
      </c>
      <c r="P37" s="560">
        <f t="shared" si="8"/>
        <v>24</v>
      </c>
      <c r="Q37" s="560">
        <v>13</v>
      </c>
      <c r="R37" s="560">
        <v>3</v>
      </c>
      <c r="S37" s="560">
        <v>7</v>
      </c>
      <c r="T37" s="560">
        <v>1</v>
      </c>
      <c r="U37" s="560">
        <v>0</v>
      </c>
      <c r="V37" s="560">
        <f t="shared" si="9"/>
        <v>0</v>
      </c>
      <c r="W37" s="560">
        <v>0</v>
      </c>
      <c r="X37" s="560">
        <v>0</v>
      </c>
      <c r="Y37" s="560">
        <v>0</v>
      </c>
      <c r="Z37" s="560">
        <v>0</v>
      </c>
      <c r="AA37" s="560">
        <v>0</v>
      </c>
    </row>
    <row r="38" spans="1:27" s="105" customFormat="1" ht="14.5" customHeight="1">
      <c r="A38" s="238">
        <v>2023</v>
      </c>
      <c r="B38" s="272" t="s">
        <v>231</v>
      </c>
      <c r="C38" s="563">
        <f t="shared" si="10"/>
        <v>122</v>
      </c>
      <c r="D38" s="563">
        <f t="shared" si="11"/>
        <v>93</v>
      </c>
      <c r="E38" s="563">
        <v>57</v>
      </c>
      <c r="F38" s="563">
        <v>6</v>
      </c>
      <c r="G38" s="563">
        <v>25</v>
      </c>
      <c r="H38" s="563">
        <v>2</v>
      </c>
      <c r="I38" s="563">
        <v>3</v>
      </c>
      <c r="J38" s="563">
        <f t="shared" si="7"/>
        <v>11</v>
      </c>
      <c r="K38" s="563">
        <v>7</v>
      </c>
      <c r="L38" s="563">
        <v>4</v>
      </c>
      <c r="M38" s="563">
        <v>0</v>
      </c>
      <c r="N38" s="563">
        <v>0</v>
      </c>
      <c r="O38" s="563">
        <v>0</v>
      </c>
      <c r="P38" s="563">
        <f t="shared" si="8"/>
        <v>18</v>
      </c>
      <c r="Q38" s="563">
        <v>13</v>
      </c>
      <c r="R38" s="563">
        <v>3</v>
      </c>
      <c r="S38" s="563">
        <v>1</v>
      </c>
      <c r="T38" s="563">
        <v>1</v>
      </c>
      <c r="U38" s="563">
        <v>0</v>
      </c>
      <c r="V38" s="563">
        <f t="shared" si="9"/>
        <v>0</v>
      </c>
      <c r="W38" s="563">
        <v>0</v>
      </c>
      <c r="X38" s="563">
        <v>0</v>
      </c>
      <c r="Y38" s="563">
        <v>0</v>
      </c>
      <c r="Z38" s="563">
        <v>0</v>
      </c>
      <c r="AA38" s="563">
        <v>0</v>
      </c>
    </row>
    <row r="39" spans="1:27" s="105" customFormat="1" ht="14.5" customHeight="1">
      <c r="A39" s="239"/>
      <c r="B39" s="273" t="s">
        <v>232</v>
      </c>
      <c r="C39" s="558">
        <f t="shared" ref="C39" si="12">D39+J39+P39+V39</f>
        <v>129</v>
      </c>
      <c r="D39" s="558">
        <f t="shared" ref="D39" si="13">SUM(E39:I39)</f>
        <v>108</v>
      </c>
      <c r="E39" s="558">
        <v>50</v>
      </c>
      <c r="F39" s="558">
        <v>24</v>
      </c>
      <c r="G39" s="558">
        <v>31</v>
      </c>
      <c r="H39" s="558">
        <v>2</v>
      </c>
      <c r="I39" s="558">
        <v>1</v>
      </c>
      <c r="J39" s="558">
        <f t="shared" si="7"/>
        <v>8</v>
      </c>
      <c r="K39" s="558">
        <v>6</v>
      </c>
      <c r="L39" s="558">
        <v>1</v>
      </c>
      <c r="M39" s="558">
        <v>1</v>
      </c>
      <c r="N39" s="558">
        <v>0</v>
      </c>
      <c r="O39" s="558">
        <v>0</v>
      </c>
      <c r="P39" s="558">
        <f t="shared" si="8"/>
        <v>12</v>
      </c>
      <c r="Q39" s="558">
        <v>8</v>
      </c>
      <c r="R39" s="558">
        <v>2</v>
      </c>
      <c r="S39" s="558">
        <v>1</v>
      </c>
      <c r="T39" s="558">
        <v>1</v>
      </c>
      <c r="U39" s="558">
        <v>0</v>
      </c>
      <c r="V39" s="558">
        <f t="shared" si="9"/>
        <v>1</v>
      </c>
      <c r="W39" s="558">
        <v>1</v>
      </c>
      <c r="X39" s="558">
        <v>0</v>
      </c>
      <c r="Y39" s="558">
        <v>0</v>
      </c>
      <c r="Z39" s="558">
        <v>0</v>
      </c>
      <c r="AA39" s="558">
        <v>0</v>
      </c>
    </row>
    <row r="40" spans="1:27" s="105" customFormat="1" ht="14.5" customHeight="1">
      <c r="A40" s="239"/>
      <c r="B40" s="273" t="s">
        <v>233</v>
      </c>
      <c r="C40" s="558">
        <f t="shared" ref="C40" si="14">D40+J40+P40+V40</f>
        <v>100</v>
      </c>
      <c r="D40" s="558">
        <f t="shared" ref="D40" si="15">SUM(E40:I40)</f>
        <v>75</v>
      </c>
      <c r="E40" s="558">
        <v>42</v>
      </c>
      <c r="F40" s="558">
        <v>14</v>
      </c>
      <c r="G40" s="558">
        <v>17</v>
      </c>
      <c r="H40" s="558">
        <v>2</v>
      </c>
      <c r="I40" s="558">
        <v>0</v>
      </c>
      <c r="J40" s="558">
        <f t="shared" si="7"/>
        <v>16</v>
      </c>
      <c r="K40" s="558">
        <v>12</v>
      </c>
      <c r="L40" s="558">
        <v>3</v>
      </c>
      <c r="M40" s="558">
        <v>1</v>
      </c>
      <c r="N40" s="558">
        <v>0</v>
      </c>
      <c r="O40" s="558">
        <v>0</v>
      </c>
      <c r="P40" s="558">
        <f t="shared" si="8"/>
        <v>9</v>
      </c>
      <c r="Q40" s="558">
        <v>5</v>
      </c>
      <c r="R40" s="558">
        <v>3</v>
      </c>
      <c r="S40" s="558">
        <v>0</v>
      </c>
      <c r="T40" s="558">
        <v>1</v>
      </c>
      <c r="U40" s="558">
        <v>0</v>
      </c>
      <c r="V40" s="558">
        <f t="shared" si="9"/>
        <v>0</v>
      </c>
      <c r="W40" s="558">
        <v>0</v>
      </c>
      <c r="X40" s="558">
        <v>0</v>
      </c>
      <c r="Y40" s="558">
        <v>0</v>
      </c>
      <c r="Z40" s="558">
        <v>0</v>
      </c>
      <c r="AA40" s="558">
        <v>0</v>
      </c>
    </row>
    <row r="41" spans="1:27" s="105" customFormat="1" ht="14.5" customHeight="1">
      <c r="A41" s="240"/>
      <c r="B41" s="274" t="s">
        <v>234</v>
      </c>
      <c r="C41" s="560">
        <f t="shared" ref="C41" si="16">D41+J41+P41+V41</f>
        <v>137</v>
      </c>
      <c r="D41" s="560">
        <f t="shared" ref="D41" si="17">SUM(E41:I41)</f>
        <v>111</v>
      </c>
      <c r="E41" s="560">
        <v>71</v>
      </c>
      <c r="F41" s="560">
        <v>12</v>
      </c>
      <c r="G41" s="560">
        <v>26</v>
      </c>
      <c r="H41" s="560">
        <v>2</v>
      </c>
      <c r="I41" s="560">
        <v>0</v>
      </c>
      <c r="J41" s="560">
        <f t="shared" si="7"/>
        <v>14</v>
      </c>
      <c r="K41" s="560">
        <v>9</v>
      </c>
      <c r="L41" s="560">
        <v>4</v>
      </c>
      <c r="M41" s="560">
        <v>1</v>
      </c>
      <c r="N41" s="560">
        <v>0</v>
      </c>
      <c r="O41" s="560">
        <v>0</v>
      </c>
      <c r="P41" s="560">
        <f t="shared" si="8"/>
        <v>12</v>
      </c>
      <c r="Q41" s="560">
        <v>6</v>
      </c>
      <c r="R41" s="560">
        <v>4</v>
      </c>
      <c r="S41" s="560">
        <v>1</v>
      </c>
      <c r="T41" s="560">
        <v>1</v>
      </c>
      <c r="U41" s="560">
        <v>0</v>
      </c>
      <c r="V41" s="560">
        <f t="shared" si="9"/>
        <v>0</v>
      </c>
      <c r="W41" s="560">
        <v>0</v>
      </c>
      <c r="X41" s="560">
        <v>0</v>
      </c>
      <c r="Y41" s="560">
        <v>0</v>
      </c>
      <c r="Z41" s="560">
        <v>0</v>
      </c>
      <c r="AA41" s="560">
        <v>0</v>
      </c>
    </row>
    <row r="42" spans="1:27" s="105" customFormat="1" ht="14.5" customHeight="1">
      <c r="A42" s="238">
        <v>2024</v>
      </c>
      <c r="B42" s="272" t="s">
        <v>231</v>
      </c>
      <c r="C42" s="563">
        <f t="shared" ref="C42" si="18">D42+J42+P42+V42</f>
        <v>81</v>
      </c>
      <c r="D42" s="563">
        <f t="shared" ref="D42" si="19">SUM(E42:I42)</f>
        <v>66</v>
      </c>
      <c r="E42" s="563">
        <v>34</v>
      </c>
      <c r="F42" s="563">
        <v>13</v>
      </c>
      <c r="G42" s="563">
        <v>17</v>
      </c>
      <c r="H42" s="563">
        <v>2</v>
      </c>
      <c r="I42" s="563">
        <v>0</v>
      </c>
      <c r="J42" s="563">
        <f t="shared" si="7"/>
        <v>9</v>
      </c>
      <c r="K42" s="563">
        <v>8</v>
      </c>
      <c r="L42" s="563">
        <v>0</v>
      </c>
      <c r="M42" s="563">
        <v>1</v>
      </c>
      <c r="N42" s="563">
        <v>0</v>
      </c>
      <c r="O42" s="563">
        <v>0</v>
      </c>
      <c r="P42" s="563">
        <f t="shared" si="8"/>
        <v>6</v>
      </c>
      <c r="Q42" s="563">
        <v>3</v>
      </c>
      <c r="R42" s="563">
        <v>1</v>
      </c>
      <c r="S42" s="563">
        <v>2</v>
      </c>
      <c r="T42" s="563">
        <v>0</v>
      </c>
      <c r="U42" s="563">
        <v>0</v>
      </c>
      <c r="V42" s="563">
        <f t="shared" si="9"/>
        <v>0</v>
      </c>
      <c r="W42" s="563">
        <v>0</v>
      </c>
      <c r="X42" s="563">
        <v>0</v>
      </c>
      <c r="Y42" s="563">
        <v>0</v>
      </c>
      <c r="Z42" s="563">
        <v>0</v>
      </c>
      <c r="AA42" s="563">
        <v>0</v>
      </c>
    </row>
    <row r="43" spans="1:27" s="105" customFormat="1" ht="14.5" customHeight="1">
      <c r="A43" s="239"/>
      <c r="B43" s="273" t="s">
        <v>232</v>
      </c>
      <c r="C43" s="558">
        <f t="shared" ref="C43" si="20">D43+J43+P43+V43</f>
        <v>123</v>
      </c>
      <c r="D43" s="558">
        <f t="shared" ref="D43" si="21">SUM(E43:I43)</f>
        <v>103</v>
      </c>
      <c r="E43" s="558">
        <v>57</v>
      </c>
      <c r="F43" s="558">
        <v>21</v>
      </c>
      <c r="G43" s="558">
        <v>25</v>
      </c>
      <c r="H43" s="558">
        <v>0</v>
      </c>
      <c r="I43" s="558">
        <v>0</v>
      </c>
      <c r="J43" s="558">
        <f t="shared" si="7"/>
        <v>9</v>
      </c>
      <c r="K43" s="558">
        <v>8</v>
      </c>
      <c r="L43" s="558">
        <v>1</v>
      </c>
      <c r="M43" s="558">
        <v>0</v>
      </c>
      <c r="N43" s="558">
        <v>0</v>
      </c>
      <c r="O43" s="558">
        <v>0</v>
      </c>
      <c r="P43" s="558">
        <f t="shared" si="8"/>
        <v>10</v>
      </c>
      <c r="Q43" s="558">
        <v>8</v>
      </c>
      <c r="R43" s="558">
        <v>1</v>
      </c>
      <c r="S43" s="558">
        <v>1</v>
      </c>
      <c r="T43" s="558">
        <v>0</v>
      </c>
      <c r="U43" s="558">
        <v>0</v>
      </c>
      <c r="V43" s="558">
        <f t="shared" si="9"/>
        <v>1</v>
      </c>
      <c r="W43" s="558">
        <v>1</v>
      </c>
      <c r="X43" s="558">
        <v>0</v>
      </c>
      <c r="Y43" s="558">
        <v>0</v>
      </c>
      <c r="Z43" s="558">
        <v>0</v>
      </c>
      <c r="AA43" s="558">
        <v>0</v>
      </c>
    </row>
    <row r="44" spans="1:27" s="105" customFormat="1" ht="14.5" customHeight="1">
      <c r="A44" s="239"/>
      <c r="B44" s="273" t="s">
        <v>233</v>
      </c>
      <c r="C44" s="558">
        <f t="shared" ref="C44" si="22">D44+J44+P44+V44</f>
        <v>134</v>
      </c>
      <c r="D44" s="558">
        <f t="shared" ref="D44" si="23">SUM(E44:I44)</f>
        <v>110</v>
      </c>
      <c r="E44" s="558">
        <v>67</v>
      </c>
      <c r="F44" s="558">
        <v>29</v>
      </c>
      <c r="G44" s="558">
        <v>10</v>
      </c>
      <c r="H44" s="558">
        <v>3</v>
      </c>
      <c r="I44" s="558">
        <v>1</v>
      </c>
      <c r="J44" s="558">
        <f t="shared" si="7"/>
        <v>11</v>
      </c>
      <c r="K44" s="558">
        <v>8</v>
      </c>
      <c r="L44" s="558">
        <v>1</v>
      </c>
      <c r="M44" s="558">
        <v>1</v>
      </c>
      <c r="N44" s="558">
        <v>0</v>
      </c>
      <c r="O44" s="558">
        <v>1</v>
      </c>
      <c r="P44" s="558">
        <f t="shared" si="8"/>
        <v>13</v>
      </c>
      <c r="Q44" s="558">
        <v>7</v>
      </c>
      <c r="R44" s="558">
        <v>4</v>
      </c>
      <c r="S44" s="558">
        <v>2</v>
      </c>
      <c r="T44" s="558">
        <v>0</v>
      </c>
      <c r="U44" s="558">
        <v>0</v>
      </c>
      <c r="V44" s="558">
        <f t="shared" si="9"/>
        <v>0</v>
      </c>
      <c r="W44" s="558">
        <v>0</v>
      </c>
      <c r="X44" s="558">
        <v>0</v>
      </c>
      <c r="Y44" s="558">
        <v>0</v>
      </c>
      <c r="Z44" s="558">
        <v>0</v>
      </c>
      <c r="AA44" s="558">
        <v>0</v>
      </c>
    </row>
    <row r="45" spans="1:27" s="105" customFormat="1" ht="14.5" customHeight="1">
      <c r="A45" s="240"/>
      <c r="B45" s="274" t="s">
        <v>234</v>
      </c>
      <c r="C45" s="560">
        <f t="shared" ref="C45" si="24">D45+J45+P45+V45</f>
        <v>147</v>
      </c>
      <c r="D45" s="560">
        <f t="shared" ref="D45" si="25">SUM(E45:I45)</f>
        <v>127</v>
      </c>
      <c r="E45" s="560">
        <v>72</v>
      </c>
      <c r="F45" s="560">
        <v>25</v>
      </c>
      <c r="G45" s="560">
        <v>25</v>
      </c>
      <c r="H45" s="560">
        <v>4</v>
      </c>
      <c r="I45" s="560">
        <v>1</v>
      </c>
      <c r="J45" s="560">
        <f t="shared" si="7"/>
        <v>7</v>
      </c>
      <c r="K45" s="560">
        <v>3</v>
      </c>
      <c r="L45" s="560">
        <v>2</v>
      </c>
      <c r="M45" s="560">
        <v>2</v>
      </c>
      <c r="N45" s="560">
        <v>0</v>
      </c>
      <c r="O45" s="560">
        <v>0</v>
      </c>
      <c r="P45" s="560">
        <f t="shared" si="8"/>
        <v>13</v>
      </c>
      <c r="Q45" s="560">
        <v>3</v>
      </c>
      <c r="R45" s="560">
        <v>6</v>
      </c>
      <c r="S45" s="560">
        <v>2</v>
      </c>
      <c r="T45" s="560">
        <v>2</v>
      </c>
      <c r="U45" s="560">
        <v>0</v>
      </c>
      <c r="V45" s="560">
        <f t="shared" si="9"/>
        <v>0</v>
      </c>
      <c r="W45" s="560">
        <v>0</v>
      </c>
      <c r="X45" s="560">
        <v>0</v>
      </c>
      <c r="Y45" s="560">
        <v>0</v>
      </c>
      <c r="Z45" s="560">
        <v>0</v>
      </c>
      <c r="AA45" s="560">
        <v>0</v>
      </c>
    </row>
    <row r="46" spans="1:27" s="105" customFormat="1" ht="14.5" customHeight="1">
      <c r="A46" s="238">
        <v>2025</v>
      </c>
      <c r="B46" s="272" t="s">
        <v>231</v>
      </c>
      <c r="C46" s="563">
        <f t="shared" ref="C46" si="26">D46+J46+P46+V46</f>
        <v>103</v>
      </c>
      <c r="D46" s="563">
        <f t="shared" ref="D46" si="27">SUM(E46:I46)</f>
        <v>87</v>
      </c>
      <c r="E46" s="563">
        <v>48</v>
      </c>
      <c r="F46" s="563">
        <v>19</v>
      </c>
      <c r="G46" s="563">
        <v>14</v>
      </c>
      <c r="H46" s="563">
        <v>6</v>
      </c>
      <c r="I46" s="563">
        <v>0</v>
      </c>
      <c r="J46" s="563">
        <f t="shared" si="7"/>
        <v>9</v>
      </c>
      <c r="K46" s="563">
        <v>7</v>
      </c>
      <c r="L46" s="563">
        <v>0</v>
      </c>
      <c r="M46" s="563">
        <v>2</v>
      </c>
      <c r="N46" s="563">
        <v>0</v>
      </c>
      <c r="O46" s="563">
        <v>0</v>
      </c>
      <c r="P46" s="563">
        <f t="shared" si="8"/>
        <v>6</v>
      </c>
      <c r="Q46" s="563">
        <v>5</v>
      </c>
      <c r="R46" s="563">
        <v>0</v>
      </c>
      <c r="S46" s="563">
        <v>1</v>
      </c>
      <c r="T46" s="563">
        <v>0</v>
      </c>
      <c r="U46" s="563">
        <v>0</v>
      </c>
      <c r="V46" s="563">
        <f t="shared" si="9"/>
        <v>1</v>
      </c>
      <c r="W46" s="563">
        <v>0</v>
      </c>
      <c r="X46" s="563">
        <v>0</v>
      </c>
      <c r="Y46" s="563">
        <v>0</v>
      </c>
      <c r="Z46" s="563">
        <v>0</v>
      </c>
      <c r="AA46" s="563">
        <v>1</v>
      </c>
    </row>
    <row r="47" spans="1:27" s="105" customFormat="1" ht="14.5" customHeight="1">
      <c r="A47" s="239"/>
      <c r="B47" s="273" t="s">
        <v>232</v>
      </c>
      <c r="C47" s="558">
        <f t="shared" ref="C47" si="28">D47+J47+P47+V47</f>
        <v>146</v>
      </c>
      <c r="D47" s="558">
        <f t="shared" ref="D47" si="29">SUM(E47:I47)</f>
        <v>121</v>
      </c>
      <c r="E47" s="558">
        <v>70</v>
      </c>
      <c r="F47" s="558">
        <v>22</v>
      </c>
      <c r="G47" s="558">
        <v>17</v>
      </c>
      <c r="H47" s="558">
        <v>11</v>
      </c>
      <c r="I47" s="558">
        <v>1</v>
      </c>
      <c r="J47" s="558">
        <f t="shared" si="7"/>
        <v>14</v>
      </c>
      <c r="K47" s="558">
        <v>11</v>
      </c>
      <c r="L47" s="558">
        <v>3</v>
      </c>
      <c r="M47" s="558">
        <v>0</v>
      </c>
      <c r="N47" s="558">
        <v>0</v>
      </c>
      <c r="O47" s="558">
        <v>0</v>
      </c>
      <c r="P47" s="558">
        <f t="shared" si="8"/>
        <v>11</v>
      </c>
      <c r="Q47" s="558">
        <v>7</v>
      </c>
      <c r="R47" s="558">
        <v>2</v>
      </c>
      <c r="S47" s="558">
        <v>1</v>
      </c>
      <c r="T47" s="558">
        <v>1</v>
      </c>
      <c r="U47" s="558">
        <v>0</v>
      </c>
      <c r="V47" s="558">
        <f t="shared" si="9"/>
        <v>0</v>
      </c>
      <c r="W47" s="558">
        <v>0</v>
      </c>
      <c r="X47" s="558">
        <v>0</v>
      </c>
      <c r="Y47" s="558">
        <v>0</v>
      </c>
      <c r="Z47" s="558">
        <v>0</v>
      </c>
      <c r="AA47" s="558">
        <v>0</v>
      </c>
    </row>
    <row r="48" spans="1:27" s="105" customFormat="1" ht="14.5" customHeight="1">
      <c r="A48" s="239"/>
      <c r="B48" s="273" t="s">
        <v>233</v>
      </c>
      <c r="C48" s="558">
        <f t="shared" ref="C48" si="30">D48+J48+P48+V48</f>
        <v>187</v>
      </c>
      <c r="D48" s="558">
        <f t="shared" ref="D48" si="31">SUM(E48:I48)</f>
        <v>152</v>
      </c>
      <c r="E48" s="558">
        <v>98</v>
      </c>
      <c r="F48" s="558">
        <v>15</v>
      </c>
      <c r="G48" s="558">
        <v>30</v>
      </c>
      <c r="H48" s="558">
        <v>9</v>
      </c>
      <c r="I48" s="558">
        <v>0</v>
      </c>
      <c r="J48" s="558">
        <f t="shared" si="7"/>
        <v>21</v>
      </c>
      <c r="K48" s="558">
        <v>19</v>
      </c>
      <c r="L48" s="558">
        <v>0</v>
      </c>
      <c r="M48" s="558">
        <v>2</v>
      </c>
      <c r="N48" s="558">
        <v>0</v>
      </c>
      <c r="O48" s="558">
        <v>0</v>
      </c>
      <c r="P48" s="558">
        <f t="shared" si="8"/>
        <v>14</v>
      </c>
      <c r="Q48" s="558">
        <v>8</v>
      </c>
      <c r="R48" s="558">
        <v>2</v>
      </c>
      <c r="S48" s="558">
        <v>1</v>
      </c>
      <c r="T48" s="558">
        <v>2</v>
      </c>
      <c r="U48" s="558">
        <v>1</v>
      </c>
      <c r="V48" s="558">
        <f t="shared" si="9"/>
        <v>0</v>
      </c>
      <c r="W48" s="558">
        <v>0</v>
      </c>
      <c r="X48" s="558">
        <v>0</v>
      </c>
      <c r="Y48" s="558">
        <v>0</v>
      </c>
      <c r="Z48" s="558">
        <v>0</v>
      </c>
      <c r="AA48" s="558">
        <v>0</v>
      </c>
    </row>
    <row r="49" spans="1:27" s="105" customFormat="1" ht="14.5" customHeight="1">
      <c r="A49" s="240"/>
      <c r="B49" s="274" t="s">
        <v>234</v>
      </c>
      <c r="C49" s="560">
        <f t="shared" ref="C49" si="32">D49+J49+P49+V49</f>
        <v>128</v>
      </c>
      <c r="D49" s="560">
        <f t="shared" ref="D49" si="33">SUM(E49:I49)</f>
        <v>110</v>
      </c>
      <c r="E49" s="560">
        <v>57</v>
      </c>
      <c r="F49" s="560">
        <v>18</v>
      </c>
      <c r="G49" s="560">
        <v>24</v>
      </c>
      <c r="H49" s="560">
        <v>10</v>
      </c>
      <c r="I49" s="560">
        <v>1</v>
      </c>
      <c r="J49" s="560">
        <f t="shared" si="7"/>
        <v>12</v>
      </c>
      <c r="K49" s="560">
        <v>11</v>
      </c>
      <c r="L49" s="560">
        <v>0</v>
      </c>
      <c r="M49" s="560">
        <v>1</v>
      </c>
      <c r="N49" s="560">
        <v>0</v>
      </c>
      <c r="O49" s="560">
        <v>0</v>
      </c>
      <c r="P49" s="560">
        <f t="shared" si="8"/>
        <v>5</v>
      </c>
      <c r="Q49" s="560">
        <v>5</v>
      </c>
      <c r="R49" s="560">
        <v>0</v>
      </c>
      <c r="S49" s="560">
        <v>0</v>
      </c>
      <c r="T49" s="560">
        <v>0</v>
      </c>
      <c r="U49" s="560">
        <v>0</v>
      </c>
      <c r="V49" s="560">
        <f t="shared" si="9"/>
        <v>1</v>
      </c>
      <c r="W49" s="560">
        <v>1</v>
      </c>
      <c r="X49" s="560">
        <v>0</v>
      </c>
      <c r="Y49" s="560">
        <v>0</v>
      </c>
      <c r="Z49" s="560">
        <v>0</v>
      </c>
      <c r="AA49" s="560">
        <v>0</v>
      </c>
    </row>
    <row r="51" spans="1:27">
      <c r="A51" s="171" t="s">
        <v>118</v>
      </c>
    </row>
    <row r="52" spans="1:27">
      <c r="A52" s="168" t="s">
        <v>168</v>
      </c>
    </row>
    <row r="54" spans="1:27">
      <c r="D54" s="80"/>
      <c r="E54" s="80"/>
      <c r="F54" s="80"/>
      <c r="G54" s="80"/>
      <c r="H54" s="80"/>
      <c r="I54" s="80"/>
      <c r="J54" s="80"/>
      <c r="K54" s="80"/>
      <c r="L54" s="80"/>
      <c r="M54" s="80"/>
      <c r="N54" s="80"/>
      <c r="O54" s="80"/>
      <c r="P54" s="80"/>
      <c r="Q54" s="80"/>
      <c r="R54" s="80"/>
      <c r="S54" s="80"/>
      <c r="T54" s="80"/>
      <c r="U54" s="80"/>
      <c r="V54" s="80"/>
      <c r="W54" s="80"/>
      <c r="X54" s="80"/>
      <c r="Y54" s="80"/>
      <c r="Z54" s="80"/>
      <c r="AA54" s="80"/>
    </row>
  </sheetData>
  <sheetProtection sheet="1" formatCells="0" insertColumns="0" insertRows="0" deleteColumns="0" deleteRows="0"/>
  <mergeCells count="7">
    <mergeCell ref="A2:AA2"/>
    <mergeCell ref="A3:B5"/>
    <mergeCell ref="C3:AA3"/>
    <mergeCell ref="D4:I4"/>
    <mergeCell ref="J4:O4"/>
    <mergeCell ref="P4:U4"/>
    <mergeCell ref="V4:AA4"/>
  </mergeCells>
  <pageMargins left="0.2" right="0.17" top="0.75" bottom="0.75" header="0.3" footer="0.3"/>
  <pageSetup paperSize="9" scale="7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54"/>
  <sheetViews>
    <sheetView zoomScaleNormal="100" workbookViewId="0">
      <pane ySplit="4" topLeftCell="A20" activePane="bottomLeft" state="frozen"/>
      <selection activeCell="J154" sqref="J154"/>
      <selection pane="bottomLeft" activeCell="C48" sqref="C48"/>
    </sheetView>
  </sheetViews>
  <sheetFormatPr defaultColWidth="9.1796875" defaultRowHeight="13"/>
  <cols>
    <col min="1" max="1" width="6.81640625" style="65" customWidth="1"/>
    <col min="2" max="2" width="10.81640625" style="65" customWidth="1"/>
    <col min="3" max="3" width="15.453125" style="65" customWidth="1"/>
    <col min="4" max="8" width="17.1796875" style="65" customWidth="1"/>
    <col min="9" max="16384" width="9.1796875" style="65"/>
  </cols>
  <sheetData>
    <row r="1" spans="1:8" ht="20" customHeight="1">
      <c r="A1" s="523" t="s">
        <v>307</v>
      </c>
    </row>
    <row r="2" spans="1:8" ht="14">
      <c r="A2" s="768" t="s">
        <v>97</v>
      </c>
      <c r="B2" s="768"/>
      <c r="C2" s="768"/>
      <c r="D2" s="768"/>
      <c r="E2" s="768"/>
      <c r="F2" s="768"/>
      <c r="G2" s="768"/>
      <c r="H2" s="768"/>
    </row>
    <row r="3" spans="1:8" s="105" customFormat="1" ht="22.5" customHeight="1">
      <c r="A3" s="717" t="s">
        <v>98</v>
      </c>
      <c r="B3" s="718"/>
      <c r="C3" s="771" t="s">
        <v>308</v>
      </c>
      <c r="D3" s="772"/>
      <c r="E3" s="772"/>
      <c r="F3" s="772"/>
      <c r="G3" s="772"/>
      <c r="H3" s="773"/>
    </row>
    <row r="4" spans="1:8" s="105" customFormat="1" ht="22.5" customHeight="1">
      <c r="A4" s="719"/>
      <c r="B4" s="720"/>
      <c r="C4" s="278" t="s">
        <v>102</v>
      </c>
      <c r="D4" s="281" t="s">
        <v>289</v>
      </c>
      <c r="E4" s="281" t="s">
        <v>290</v>
      </c>
      <c r="F4" s="281" t="s">
        <v>291</v>
      </c>
      <c r="G4" s="281" t="s">
        <v>292</v>
      </c>
      <c r="H4" s="281" t="s">
        <v>293</v>
      </c>
    </row>
    <row r="5" spans="1:8" s="105" customFormat="1" ht="14">
      <c r="A5" s="499">
        <v>2015</v>
      </c>
      <c r="B5" s="564" t="s">
        <v>231</v>
      </c>
      <c r="C5" s="332">
        <f t="shared" ref="C5:C22" si="0">SUM(D5:H5)</f>
        <v>35.766999999999996</v>
      </c>
      <c r="D5" s="327">
        <v>15.022</v>
      </c>
      <c r="E5" s="332">
        <v>6.8559999999999999</v>
      </c>
      <c r="F5" s="332">
        <v>5.9550000000000001</v>
      </c>
      <c r="G5" s="328">
        <v>7.9340000000000002</v>
      </c>
      <c r="H5" s="332"/>
    </row>
    <row r="6" spans="1:8" s="105" customFormat="1" ht="14">
      <c r="A6" s="499"/>
      <c r="B6" s="565" t="s">
        <v>232</v>
      </c>
      <c r="C6" s="327">
        <f t="shared" si="0"/>
        <v>41.529030000000006</v>
      </c>
      <c r="D6" s="327">
        <v>19.152280000000001</v>
      </c>
      <c r="E6" s="327">
        <v>8.8925000000000001</v>
      </c>
      <c r="F6" s="327">
        <v>4.8932500000000001</v>
      </c>
      <c r="G6" s="327">
        <v>8.0730000000000004</v>
      </c>
      <c r="H6" s="327">
        <v>0.51800000000000002</v>
      </c>
    </row>
    <row r="7" spans="1:8" s="105" customFormat="1" ht="14">
      <c r="A7" s="499"/>
      <c r="B7" s="565" t="s">
        <v>233</v>
      </c>
      <c r="C7" s="327">
        <f t="shared" si="0"/>
        <v>22.351249999999997</v>
      </c>
      <c r="D7" s="327">
        <v>13.324</v>
      </c>
      <c r="E7" s="327">
        <v>2.0779999999999998</v>
      </c>
      <c r="F7" s="327">
        <v>5.0022500000000001</v>
      </c>
      <c r="G7" s="327">
        <v>1.641</v>
      </c>
      <c r="H7" s="327">
        <v>0.30599999999999999</v>
      </c>
    </row>
    <row r="8" spans="1:8" s="105" customFormat="1" ht="14">
      <c r="A8" s="500"/>
      <c r="B8" s="566" t="s">
        <v>234</v>
      </c>
      <c r="C8" s="329">
        <f t="shared" si="0"/>
        <v>10.70575</v>
      </c>
      <c r="D8" s="329">
        <v>5.125</v>
      </c>
      <c r="E8" s="329">
        <v>1.615</v>
      </c>
      <c r="F8" s="329">
        <v>2.6757499999999999</v>
      </c>
      <c r="G8" s="329">
        <v>0.89400000000000002</v>
      </c>
      <c r="H8" s="329">
        <v>0.39600000000000002</v>
      </c>
    </row>
    <row r="9" spans="1:8" s="105" customFormat="1" ht="14">
      <c r="A9" s="499">
        <v>2016</v>
      </c>
      <c r="B9" s="564" t="s">
        <v>231</v>
      </c>
      <c r="C9" s="332">
        <f t="shared" si="0"/>
        <v>23.987411000000002</v>
      </c>
      <c r="D9" s="327">
        <v>11.662523</v>
      </c>
      <c r="E9" s="332">
        <v>6.3739999999999997</v>
      </c>
      <c r="F9" s="332">
        <v>4.58</v>
      </c>
      <c r="G9" s="328">
        <v>1.260888</v>
      </c>
      <c r="H9" s="332">
        <v>0.11</v>
      </c>
    </row>
    <row r="10" spans="1:8" s="105" customFormat="1" ht="14">
      <c r="A10" s="499"/>
      <c r="B10" s="565" t="s">
        <v>232</v>
      </c>
      <c r="C10" s="327">
        <f t="shared" si="0"/>
        <v>16.469757489999999</v>
      </c>
      <c r="D10" s="327">
        <v>9.1334974899999999</v>
      </c>
      <c r="E10" s="327">
        <v>3.4710000000000001</v>
      </c>
      <c r="F10" s="327">
        <v>3.7032600000000002</v>
      </c>
      <c r="G10" s="327">
        <v>9.6000000000000002E-2</v>
      </c>
      <c r="H10" s="327">
        <v>6.6000000000000003E-2</v>
      </c>
    </row>
    <row r="11" spans="1:8" s="105" customFormat="1" ht="14">
      <c r="A11" s="499"/>
      <c r="B11" s="565" t="s">
        <v>233</v>
      </c>
      <c r="C11" s="327">
        <f t="shared" si="0"/>
        <v>24.679293009999999</v>
      </c>
      <c r="D11" s="327">
        <v>15.61381766</v>
      </c>
      <c r="E11" s="327">
        <v>5.8293629999999999</v>
      </c>
      <c r="F11" s="327">
        <v>1.8460000000000001</v>
      </c>
      <c r="G11" s="327">
        <v>1.133</v>
      </c>
      <c r="H11" s="327">
        <v>0.25711234999999999</v>
      </c>
    </row>
    <row r="12" spans="1:8" s="105" customFormat="1" ht="14">
      <c r="A12" s="500"/>
      <c r="B12" s="566" t="s">
        <v>234</v>
      </c>
      <c r="C12" s="329">
        <f t="shared" si="0"/>
        <v>28.102252659999998</v>
      </c>
      <c r="D12" s="329">
        <v>14.99278241</v>
      </c>
      <c r="E12" s="329">
        <v>5.8491472499999997</v>
      </c>
      <c r="F12" s="329">
        <v>5.4009999999999998</v>
      </c>
      <c r="G12" s="329">
        <v>1.2929999999999999</v>
      </c>
      <c r="H12" s="329">
        <v>0.56632300000000002</v>
      </c>
    </row>
    <row r="13" spans="1:8" s="105" customFormat="1" ht="14">
      <c r="A13" s="243">
        <v>2017</v>
      </c>
      <c r="B13" s="564" t="s">
        <v>231</v>
      </c>
      <c r="C13" s="332">
        <f t="shared" si="0"/>
        <v>21.511263549999999</v>
      </c>
      <c r="D13" s="332">
        <v>10.72736991</v>
      </c>
      <c r="E13" s="332">
        <v>5.0150714599999997</v>
      </c>
      <c r="F13" s="332">
        <v>3.3566549999999999</v>
      </c>
      <c r="G13" s="332">
        <v>2.3279999999999998</v>
      </c>
      <c r="H13" s="332">
        <v>8.4167179999999994E-2</v>
      </c>
    </row>
    <row r="14" spans="1:8" s="105" customFormat="1" ht="14">
      <c r="A14" s="499"/>
      <c r="B14" s="565" t="s">
        <v>232</v>
      </c>
      <c r="C14" s="327">
        <f t="shared" si="0"/>
        <v>20.152334520000004</v>
      </c>
      <c r="D14" s="327">
        <v>11.76983452</v>
      </c>
      <c r="E14" s="327">
        <v>2.9249999999999998</v>
      </c>
      <c r="F14" s="327">
        <v>2.1</v>
      </c>
      <c r="G14" s="327">
        <v>3.3574999999999999</v>
      </c>
      <c r="H14" s="327"/>
    </row>
    <row r="15" spans="1:8" s="105" customFormat="1" ht="14">
      <c r="A15" s="499"/>
      <c r="B15" s="565" t="s">
        <v>233</v>
      </c>
      <c r="C15" s="327">
        <f t="shared" si="0"/>
        <v>21.287964899999999</v>
      </c>
      <c r="D15" s="327">
        <v>14.2559649</v>
      </c>
      <c r="E15" s="327">
        <v>2.129</v>
      </c>
      <c r="F15" s="327">
        <v>2.0049999999999999</v>
      </c>
      <c r="G15" s="327">
        <v>2.1480000000000001</v>
      </c>
      <c r="H15" s="327">
        <v>0.75</v>
      </c>
    </row>
    <row r="16" spans="1:8" s="105" customFormat="1" ht="14">
      <c r="A16" s="500"/>
      <c r="B16" s="566" t="s">
        <v>234</v>
      </c>
      <c r="C16" s="329">
        <f t="shared" si="0"/>
        <v>21.213965999999999</v>
      </c>
      <c r="D16" s="329">
        <v>13.513966</v>
      </c>
      <c r="E16" s="329">
        <v>2.2330000000000001</v>
      </c>
      <c r="F16" s="329">
        <v>2.9420000000000002</v>
      </c>
      <c r="G16" s="329">
        <v>2.5249999999999999</v>
      </c>
      <c r="H16" s="329"/>
    </row>
    <row r="17" spans="1:9" s="105" customFormat="1" ht="14">
      <c r="A17" s="243">
        <v>2018</v>
      </c>
      <c r="B17" s="564" t="s">
        <v>231</v>
      </c>
      <c r="C17" s="332">
        <f t="shared" si="0"/>
        <v>19.398600000000002</v>
      </c>
      <c r="D17" s="332">
        <v>12.1396</v>
      </c>
      <c r="E17" s="332">
        <v>3.6850000000000001</v>
      </c>
      <c r="F17" s="332">
        <v>2.4540000000000002</v>
      </c>
      <c r="G17" s="332">
        <v>0.85499999999999998</v>
      </c>
      <c r="H17" s="332">
        <v>0.26500000000000001</v>
      </c>
    </row>
    <row r="18" spans="1:9" s="105" customFormat="1" ht="14">
      <c r="A18" s="499"/>
      <c r="B18" s="565" t="s">
        <v>232</v>
      </c>
      <c r="C18" s="327">
        <f t="shared" si="0"/>
        <v>17.312999999999999</v>
      </c>
      <c r="D18" s="327">
        <v>10.185</v>
      </c>
      <c r="E18" s="327">
        <v>3.0640000000000001</v>
      </c>
      <c r="F18" s="327">
        <v>2.6429999999999998</v>
      </c>
      <c r="G18" s="327">
        <v>1.121</v>
      </c>
      <c r="H18" s="327">
        <v>0.3</v>
      </c>
    </row>
    <row r="19" spans="1:9" s="105" customFormat="1" ht="14">
      <c r="A19" s="499"/>
      <c r="B19" s="567" t="s">
        <v>233</v>
      </c>
      <c r="C19" s="327">
        <f t="shared" si="0"/>
        <v>21.8</v>
      </c>
      <c r="D19" s="327">
        <v>14.74</v>
      </c>
      <c r="E19" s="327">
        <v>3.7</v>
      </c>
      <c r="F19" s="327">
        <v>2.73</v>
      </c>
      <c r="G19" s="327">
        <v>0.54</v>
      </c>
      <c r="H19" s="336">
        <v>0.09</v>
      </c>
    </row>
    <row r="20" spans="1:9" s="105" customFormat="1" ht="14">
      <c r="A20" s="500"/>
      <c r="B20" s="568" t="s">
        <v>234</v>
      </c>
      <c r="C20" s="329">
        <f t="shared" si="0"/>
        <v>28.779999999999998</v>
      </c>
      <c r="D20" s="329">
        <v>19.29</v>
      </c>
      <c r="E20" s="329">
        <v>3.06</v>
      </c>
      <c r="F20" s="329">
        <v>4.55</v>
      </c>
      <c r="G20" s="329">
        <v>1.58</v>
      </c>
      <c r="H20" s="342">
        <v>0.3</v>
      </c>
    </row>
    <row r="21" spans="1:9" s="105" customFormat="1" ht="14">
      <c r="A21" s="243">
        <v>2019</v>
      </c>
      <c r="B21" s="569" t="s">
        <v>231</v>
      </c>
      <c r="C21" s="332">
        <f t="shared" si="0"/>
        <v>23.41</v>
      </c>
      <c r="D21" s="332">
        <v>14.54</v>
      </c>
      <c r="E21" s="332">
        <v>4.8099999999999996</v>
      </c>
      <c r="F21" s="332">
        <v>1.85</v>
      </c>
      <c r="G21" s="332">
        <v>2.21</v>
      </c>
      <c r="H21" s="332"/>
    </row>
    <row r="22" spans="1:9" s="105" customFormat="1" ht="14">
      <c r="A22" s="499"/>
      <c r="B22" s="567" t="s">
        <v>232</v>
      </c>
      <c r="C22" s="327">
        <f t="shared" si="0"/>
        <v>27.200000000000003</v>
      </c>
      <c r="D22" s="327">
        <v>16</v>
      </c>
      <c r="E22" s="327">
        <v>5.3</v>
      </c>
      <c r="F22" s="327">
        <v>4.8</v>
      </c>
      <c r="G22" s="327">
        <v>0.8</v>
      </c>
      <c r="H22" s="327">
        <v>0.3</v>
      </c>
    </row>
    <row r="23" spans="1:9" s="105" customFormat="1" ht="14">
      <c r="A23" s="499"/>
      <c r="B23" s="567" t="s">
        <v>233</v>
      </c>
      <c r="C23" s="403">
        <f t="shared" ref="C23:C48" si="1">SUM(D23:H23)</f>
        <v>25.554400000000001</v>
      </c>
      <c r="D23" s="403">
        <v>16.353400000000001</v>
      </c>
      <c r="E23" s="403">
        <v>3.4670000000000001</v>
      </c>
      <c r="F23" s="403">
        <v>3.4590000000000001</v>
      </c>
      <c r="G23" s="403">
        <v>2.19</v>
      </c>
      <c r="H23" s="327">
        <v>8.5000000000000006E-2</v>
      </c>
      <c r="I23" s="112"/>
    </row>
    <row r="24" spans="1:9" s="105" customFormat="1" ht="14">
      <c r="A24" s="500"/>
      <c r="B24" s="568" t="s">
        <v>234</v>
      </c>
      <c r="C24" s="329">
        <f t="shared" si="1"/>
        <v>24.599999999999998</v>
      </c>
      <c r="D24" s="330">
        <v>11.2</v>
      </c>
      <c r="E24" s="329">
        <v>5.7</v>
      </c>
      <c r="F24" s="330">
        <v>4.4000000000000004</v>
      </c>
      <c r="G24" s="329">
        <v>3.3</v>
      </c>
      <c r="H24" s="342"/>
    </row>
    <row r="25" spans="1:9" s="105" customFormat="1" ht="14">
      <c r="A25" s="243">
        <v>2020</v>
      </c>
      <c r="B25" s="569" t="s">
        <v>231</v>
      </c>
      <c r="C25" s="332">
        <f t="shared" si="1"/>
        <v>15.981756000000001</v>
      </c>
      <c r="D25" s="332">
        <v>5.9897559999999999</v>
      </c>
      <c r="E25" s="332">
        <v>5.12</v>
      </c>
      <c r="F25" s="332">
        <v>1.5149999999999999</v>
      </c>
      <c r="G25" s="332">
        <v>3.3570000000000002</v>
      </c>
      <c r="H25" s="332"/>
    </row>
    <row r="26" spans="1:9" s="105" customFormat="1" ht="14">
      <c r="A26" s="499"/>
      <c r="B26" s="567" t="s">
        <v>232</v>
      </c>
      <c r="C26" s="327">
        <f t="shared" si="1"/>
        <v>25.448419000000001</v>
      </c>
      <c r="D26" s="327">
        <v>11.886469</v>
      </c>
      <c r="E26" s="327">
        <v>7.4435500000000001</v>
      </c>
      <c r="F26" s="327">
        <v>2.9239999999999999</v>
      </c>
      <c r="G26" s="327">
        <v>2.8639999999999999</v>
      </c>
      <c r="H26" s="327">
        <v>0.33040000000000003</v>
      </c>
    </row>
    <row r="27" spans="1:9" s="105" customFormat="1" ht="14">
      <c r="A27" s="499"/>
      <c r="B27" s="567" t="s">
        <v>233</v>
      </c>
      <c r="C27" s="327">
        <f t="shared" si="1"/>
        <v>36.261200000000002</v>
      </c>
      <c r="D27" s="327">
        <v>22.794599999999999</v>
      </c>
      <c r="E27" s="327">
        <v>5.6929999999999996</v>
      </c>
      <c r="F27" s="327">
        <v>5.2812999999999999</v>
      </c>
      <c r="G27" s="327">
        <v>1.7665</v>
      </c>
      <c r="H27" s="327">
        <v>0.7258</v>
      </c>
    </row>
    <row r="28" spans="1:9" s="105" customFormat="1" ht="14">
      <c r="A28" s="500"/>
      <c r="B28" s="568" t="s">
        <v>234</v>
      </c>
      <c r="C28" s="329">
        <f t="shared" si="1"/>
        <v>29.981153719999998</v>
      </c>
      <c r="D28" s="329">
        <v>18.842153719999999</v>
      </c>
      <c r="E28" s="329">
        <v>6.3334999999999999</v>
      </c>
      <c r="F28" s="329">
        <v>3.714</v>
      </c>
      <c r="G28" s="329">
        <v>1.0189999999999999</v>
      </c>
      <c r="H28" s="329">
        <v>7.2499999999999995E-2</v>
      </c>
    </row>
    <row r="29" spans="1:9" s="105" customFormat="1" ht="14">
      <c r="A29" s="243">
        <v>2021</v>
      </c>
      <c r="B29" s="569" t="s">
        <v>231</v>
      </c>
      <c r="C29" s="332">
        <f t="shared" si="1"/>
        <v>23.847953999999998</v>
      </c>
      <c r="D29" s="332">
        <v>16.723953999999999</v>
      </c>
      <c r="E29" s="332">
        <v>3.1579999999999999</v>
      </c>
      <c r="F29" s="332">
        <v>1.6180000000000001</v>
      </c>
      <c r="G29" s="332">
        <v>1.8580000000000001</v>
      </c>
      <c r="H29" s="332">
        <v>0.49</v>
      </c>
    </row>
    <row r="30" spans="1:9" s="105" customFormat="1" ht="14">
      <c r="A30" s="501"/>
      <c r="B30" s="567" t="s">
        <v>232</v>
      </c>
      <c r="C30" s="403">
        <f t="shared" si="1"/>
        <v>23.209851</v>
      </c>
      <c r="D30" s="540">
        <v>16.577850999999999</v>
      </c>
      <c r="E30" s="540">
        <v>3.956</v>
      </c>
      <c r="F30" s="541">
        <v>1.286</v>
      </c>
      <c r="G30" s="541">
        <v>1.1919999999999999</v>
      </c>
      <c r="H30" s="541">
        <v>0.19800000000000001</v>
      </c>
    </row>
    <row r="31" spans="1:9" s="105" customFormat="1" ht="14">
      <c r="A31" s="501"/>
      <c r="B31" s="567" t="s">
        <v>233</v>
      </c>
      <c r="C31" s="403">
        <f t="shared" si="1"/>
        <v>32.097070110000004</v>
      </c>
      <c r="D31" s="540">
        <v>21.955070110000001</v>
      </c>
      <c r="E31" s="541">
        <v>5.8319999999999999</v>
      </c>
      <c r="F31" s="541">
        <v>2.496</v>
      </c>
      <c r="G31" s="540">
        <v>1.8140000000000001</v>
      </c>
      <c r="H31" s="541"/>
    </row>
    <row r="32" spans="1:9" s="105" customFormat="1" ht="14">
      <c r="A32" s="502"/>
      <c r="B32" s="568" t="s">
        <v>234</v>
      </c>
      <c r="C32" s="538">
        <f t="shared" si="1"/>
        <v>28.42543788</v>
      </c>
      <c r="D32" s="542">
        <v>18.01314988</v>
      </c>
      <c r="E32" s="543">
        <v>3.2759999999999998</v>
      </c>
      <c r="F32" s="543">
        <v>4.0842879999999999</v>
      </c>
      <c r="G32" s="543">
        <v>2.677</v>
      </c>
      <c r="H32" s="543">
        <v>0.375</v>
      </c>
    </row>
    <row r="33" spans="1:8" s="105" customFormat="1" ht="14">
      <c r="A33" s="243">
        <v>2022</v>
      </c>
      <c r="B33" s="569" t="s">
        <v>231</v>
      </c>
      <c r="C33" s="332">
        <f t="shared" si="1"/>
        <v>26.595522019999997</v>
      </c>
      <c r="D33" s="570">
        <v>19.192522019999998</v>
      </c>
      <c r="E33" s="544">
        <v>2.6190000000000002</v>
      </c>
      <c r="F33" s="570">
        <v>4.1859999999999999</v>
      </c>
      <c r="G33" s="544">
        <v>0.59799999999999998</v>
      </c>
      <c r="H33" s="571"/>
    </row>
    <row r="34" spans="1:8" s="105" customFormat="1" ht="14">
      <c r="A34" s="499"/>
      <c r="B34" s="567" t="s">
        <v>232</v>
      </c>
      <c r="C34" s="327">
        <f t="shared" si="1"/>
        <v>28.286373210000004</v>
      </c>
      <c r="D34" s="541">
        <v>16.717373210000002</v>
      </c>
      <c r="E34" s="541">
        <v>4.7685000000000004</v>
      </c>
      <c r="F34" s="541">
        <v>4.6565000000000003</v>
      </c>
      <c r="G34" s="541">
        <v>1.7270000000000001</v>
      </c>
      <c r="H34" s="541">
        <v>0.41699999999999998</v>
      </c>
    </row>
    <row r="35" spans="1:8" s="105" customFormat="1" ht="14">
      <c r="A35" s="499"/>
      <c r="B35" s="567" t="s">
        <v>233</v>
      </c>
      <c r="C35" s="327">
        <f t="shared" si="1"/>
        <v>30.041000000000004</v>
      </c>
      <c r="D35" s="541">
        <v>18.845500000000001</v>
      </c>
      <c r="E35" s="541">
        <v>4.3529999999999998</v>
      </c>
      <c r="F35" s="541">
        <v>6.2104999999999997</v>
      </c>
      <c r="G35" s="541">
        <v>0.63200000000000001</v>
      </c>
      <c r="H35" s="541">
        <v>0</v>
      </c>
    </row>
    <row r="36" spans="1:8" s="105" customFormat="1" ht="14">
      <c r="A36" s="500"/>
      <c r="B36" s="568" t="s">
        <v>234</v>
      </c>
      <c r="C36" s="329">
        <f t="shared" si="1"/>
        <v>28.301567250000002</v>
      </c>
      <c r="D36" s="543">
        <v>19.806467250000001</v>
      </c>
      <c r="E36" s="543">
        <v>3.6690999999999998</v>
      </c>
      <c r="F36" s="543">
        <v>3.0070000000000001</v>
      </c>
      <c r="G36" s="543">
        <v>1.349</v>
      </c>
      <c r="H36" s="543">
        <v>0.47</v>
      </c>
    </row>
    <row r="37" spans="1:8" s="105" customFormat="1" ht="14">
      <c r="A37" s="243">
        <v>2023</v>
      </c>
      <c r="B37" s="569" t="s">
        <v>231</v>
      </c>
      <c r="C37" s="332">
        <f t="shared" si="1"/>
        <v>24.789281000000003</v>
      </c>
      <c r="D37" s="544">
        <v>16.400981000000002</v>
      </c>
      <c r="E37" s="544">
        <v>1.746</v>
      </c>
      <c r="F37" s="544">
        <v>5.4813000000000001</v>
      </c>
      <c r="G37" s="544">
        <v>0.93400000000000005</v>
      </c>
      <c r="H37" s="544">
        <v>0.22700000000000001</v>
      </c>
    </row>
    <row r="38" spans="1:8" s="105" customFormat="1" ht="14">
      <c r="A38" s="499"/>
      <c r="B38" s="567" t="s">
        <v>232</v>
      </c>
      <c r="C38" s="327">
        <f t="shared" si="1"/>
        <v>28.976076939999999</v>
      </c>
      <c r="D38" s="541">
        <v>16.354076939999999</v>
      </c>
      <c r="E38" s="541">
        <v>5.907</v>
      </c>
      <c r="F38" s="541">
        <v>6.08</v>
      </c>
      <c r="G38" s="541">
        <v>0.47</v>
      </c>
      <c r="H38" s="541">
        <v>0.16500000000000001</v>
      </c>
    </row>
    <row r="39" spans="1:8" s="105" customFormat="1" ht="14">
      <c r="A39" s="499"/>
      <c r="B39" s="567" t="s">
        <v>233</v>
      </c>
      <c r="C39" s="327">
        <f t="shared" si="1"/>
        <v>20.560999999999996</v>
      </c>
      <c r="D39" s="541">
        <v>12.477499999999999</v>
      </c>
      <c r="E39" s="541">
        <v>3.9489999999999998</v>
      </c>
      <c r="F39" s="541">
        <v>3.7105000000000001</v>
      </c>
      <c r="G39" s="541">
        <v>0.42399999999999999</v>
      </c>
      <c r="H39" s="541"/>
    </row>
    <row r="40" spans="1:8" s="105" customFormat="1" ht="14">
      <c r="A40" s="500"/>
      <c r="B40" s="568" t="s">
        <v>234</v>
      </c>
      <c r="C40" s="329">
        <f t="shared" si="1"/>
        <v>29.810777000000002</v>
      </c>
      <c r="D40" s="543">
        <v>20.771277000000001</v>
      </c>
      <c r="E40" s="543">
        <v>3.2909999999999999</v>
      </c>
      <c r="F40" s="543">
        <v>5.3585000000000003</v>
      </c>
      <c r="G40" s="543">
        <v>0.39</v>
      </c>
      <c r="H40" s="543"/>
    </row>
    <row r="41" spans="1:8" s="105" customFormat="1" ht="14">
      <c r="A41" s="243">
        <v>2024</v>
      </c>
      <c r="B41" s="569" t="s">
        <v>231</v>
      </c>
      <c r="C41" s="332">
        <f t="shared" si="1"/>
        <v>16.367599999999999</v>
      </c>
      <c r="D41" s="544">
        <v>9.4400999999999993</v>
      </c>
      <c r="E41" s="544">
        <v>2.8820000000000001</v>
      </c>
      <c r="F41" s="544">
        <v>3.5754999999999999</v>
      </c>
      <c r="G41" s="544">
        <v>0.47</v>
      </c>
      <c r="H41" s="544"/>
    </row>
    <row r="42" spans="1:8" s="105" customFormat="1" ht="14">
      <c r="A42" s="499"/>
      <c r="B42" s="567" t="s">
        <v>232</v>
      </c>
      <c r="C42" s="327">
        <f t="shared" si="1"/>
        <v>28.58933</v>
      </c>
      <c r="D42" s="541">
        <v>17.472829999999998</v>
      </c>
      <c r="E42" s="541">
        <v>6.0209999999999999</v>
      </c>
      <c r="F42" s="541">
        <v>5.0955000000000004</v>
      </c>
      <c r="G42" s="541"/>
      <c r="H42" s="541"/>
    </row>
    <row r="43" spans="1:8" s="105" customFormat="1" ht="14">
      <c r="A43" s="499"/>
      <c r="B43" s="567" t="s">
        <v>233</v>
      </c>
      <c r="C43" s="327">
        <f t="shared" si="1"/>
        <v>28.621032999999997</v>
      </c>
      <c r="D43" s="541">
        <v>18.215032999999998</v>
      </c>
      <c r="E43" s="541">
        <v>7.5709999999999997</v>
      </c>
      <c r="F43" s="541">
        <v>1.8480000000000001</v>
      </c>
      <c r="G43" s="541">
        <v>0.83499999999999996</v>
      </c>
      <c r="H43" s="541">
        <v>0.152</v>
      </c>
    </row>
    <row r="44" spans="1:8" s="105" customFormat="1" ht="14">
      <c r="A44" s="500"/>
      <c r="B44" s="568" t="s">
        <v>234</v>
      </c>
      <c r="C44" s="329">
        <f t="shared" si="1"/>
        <v>31.565913640000002</v>
      </c>
      <c r="D44" s="543">
        <v>19.80867683</v>
      </c>
      <c r="E44" s="543">
        <v>5.62</v>
      </c>
      <c r="F44" s="543">
        <v>4.6952368099999999</v>
      </c>
      <c r="G44" s="543">
        <v>1.292</v>
      </c>
      <c r="H44" s="543">
        <v>0.15</v>
      </c>
    </row>
    <row r="45" spans="1:8" s="105" customFormat="1" ht="14">
      <c r="A45" s="243">
        <v>2025</v>
      </c>
      <c r="B45" s="569" t="s">
        <v>231</v>
      </c>
      <c r="C45" s="332">
        <f t="shared" si="1"/>
        <v>20.399999999999995</v>
      </c>
      <c r="D45" s="544">
        <v>12.2</v>
      </c>
      <c r="E45" s="544">
        <v>4.0999999999999996</v>
      </c>
      <c r="F45" s="544">
        <v>3.2</v>
      </c>
      <c r="G45" s="544">
        <v>0.9</v>
      </c>
      <c r="H45" s="544">
        <v>0</v>
      </c>
    </row>
    <row r="46" spans="1:8" s="105" customFormat="1" ht="14">
      <c r="A46" s="499"/>
      <c r="B46" s="567" t="s">
        <v>232</v>
      </c>
      <c r="C46" s="327">
        <f t="shared" si="1"/>
        <v>31.313913749999998</v>
      </c>
      <c r="D46" s="541">
        <v>20.350359749999999</v>
      </c>
      <c r="E46" s="541">
        <v>4.8220000000000001</v>
      </c>
      <c r="F46" s="541">
        <v>3.794</v>
      </c>
      <c r="G46" s="541">
        <v>2.2375539999999998</v>
      </c>
      <c r="H46" s="541">
        <v>0.11</v>
      </c>
    </row>
    <row r="47" spans="1:8" s="105" customFormat="1" ht="14">
      <c r="A47" s="499"/>
      <c r="B47" s="567" t="s">
        <v>233</v>
      </c>
      <c r="C47" s="327">
        <f t="shared" si="1"/>
        <v>36.877766690000001</v>
      </c>
      <c r="D47" s="541">
        <v>25.618814690000001</v>
      </c>
      <c r="E47" s="541">
        <v>3.4064999999999999</v>
      </c>
      <c r="F47" s="541">
        <v>5.6226000000000003</v>
      </c>
      <c r="G47" s="541">
        <v>2.2298520000000002</v>
      </c>
      <c r="H47" s="541"/>
    </row>
    <row r="48" spans="1:8" s="105" customFormat="1" ht="14">
      <c r="A48" s="500"/>
      <c r="B48" s="568" t="s">
        <v>234</v>
      </c>
      <c r="C48" s="329">
        <f t="shared" si="1"/>
        <v>27.942814000000002</v>
      </c>
      <c r="D48" s="543">
        <v>15.4849</v>
      </c>
      <c r="E48" s="543">
        <v>4.8259999999999996</v>
      </c>
      <c r="F48" s="543">
        <v>4.9950000000000001</v>
      </c>
      <c r="G48" s="543">
        <v>2.3719139999999999</v>
      </c>
      <c r="H48" s="543">
        <v>0.26500000000000001</v>
      </c>
    </row>
    <row r="49" spans="1:8">
      <c r="B49" s="67"/>
    </row>
    <row r="50" spans="1:8">
      <c r="A50" s="171" t="s">
        <v>118</v>
      </c>
    </row>
    <row r="51" spans="1:8">
      <c r="A51" s="161" t="s">
        <v>411</v>
      </c>
    </row>
    <row r="52" spans="1:8">
      <c r="A52" s="168" t="s">
        <v>168</v>
      </c>
    </row>
    <row r="54" spans="1:8">
      <c r="C54" s="90"/>
      <c r="D54" s="90"/>
      <c r="E54" s="90"/>
      <c r="F54" s="90"/>
      <c r="G54" s="90"/>
      <c r="H54" s="90"/>
    </row>
  </sheetData>
  <sheetProtection sheet="1" formatCells="0" insertColumns="0" insertRows="0" deleteColumns="0" deleteRows="0"/>
  <mergeCells count="3">
    <mergeCell ref="A2:H2"/>
    <mergeCell ref="A3:B4"/>
    <mergeCell ref="C3:H3"/>
  </mergeCells>
  <printOptions horizontalCentered="1"/>
  <pageMargins left="0.33" right="0.7" top="0.75" bottom="0.75" header="0.3" footer="0.3"/>
  <pageSetup paperSize="9" orientation="landscape" r:id="rId1"/>
  <ignoredErrors>
    <ignoredError sqref="C46"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60"/>
  <sheetViews>
    <sheetView zoomScaleNormal="100" workbookViewId="0">
      <pane ySplit="4" topLeftCell="A16" activePane="bottomLeft" state="frozen"/>
      <selection activeCell="J154" sqref="J154"/>
      <selection pane="bottomLeft" activeCell="D47" sqref="D47"/>
    </sheetView>
  </sheetViews>
  <sheetFormatPr defaultColWidth="9.1796875" defaultRowHeight="13"/>
  <cols>
    <col min="1" max="1" width="8.1796875" style="65" customWidth="1"/>
    <col min="2" max="2" width="8" style="65" customWidth="1"/>
    <col min="3" max="3" width="14.54296875" style="65" customWidth="1"/>
    <col min="4" max="4" width="14.81640625" style="65" customWidth="1"/>
    <col min="5" max="5" width="18" style="65" customWidth="1"/>
    <col min="6" max="6" width="15.1796875" style="65" customWidth="1"/>
    <col min="7" max="7" width="15" style="65" customWidth="1"/>
    <col min="8" max="8" width="14.453125" style="65" customWidth="1"/>
    <col min="9" max="19" width="13.81640625" style="65" customWidth="1"/>
    <col min="20" max="16384" width="9.1796875" style="65"/>
  </cols>
  <sheetData>
    <row r="1" spans="1:8" ht="17.5" customHeight="1">
      <c r="A1" s="523" t="s">
        <v>309</v>
      </c>
      <c r="B1" s="187"/>
      <c r="C1" s="187"/>
      <c r="D1" s="187"/>
      <c r="E1" s="187"/>
      <c r="F1" s="187"/>
      <c r="G1" s="187"/>
      <c r="H1" s="187"/>
    </row>
    <row r="2" spans="1:8" ht="22.5" customHeight="1">
      <c r="A2" s="768" t="s">
        <v>297</v>
      </c>
      <c r="B2" s="768"/>
      <c r="C2" s="768"/>
      <c r="D2" s="768"/>
      <c r="E2" s="768"/>
      <c r="F2" s="768"/>
      <c r="G2" s="768"/>
      <c r="H2" s="768"/>
    </row>
    <row r="3" spans="1:8" s="105" customFormat="1" ht="26.25" customHeight="1">
      <c r="A3" s="804" t="s">
        <v>98</v>
      </c>
      <c r="B3" s="805"/>
      <c r="C3" s="816" t="s">
        <v>310</v>
      </c>
      <c r="D3" s="817"/>
      <c r="E3" s="817"/>
      <c r="F3" s="817"/>
      <c r="G3" s="817"/>
      <c r="H3" s="818"/>
    </row>
    <row r="4" spans="1:8" s="105" customFormat="1" ht="23" customHeight="1">
      <c r="A4" s="806"/>
      <c r="B4" s="807"/>
      <c r="C4" s="524" t="s">
        <v>299</v>
      </c>
      <c r="D4" s="525" t="s">
        <v>289</v>
      </c>
      <c r="E4" s="525" t="s">
        <v>290</v>
      </c>
      <c r="F4" s="525" t="s">
        <v>291</v>
      </c>
      <c r="G4" s="525" t="s">
        <v>292</v>
      </c>
      <c r="H4" s="525" t="s">
        <v>293</v>
      </c>
    </row>
    <row r="5" spans="1:8" s="105" customFormat="1" ht="14">
      <c r="A5" s="239">
        <v>2015</v>
      </c>
      <c r="B5" s="247" t="s">
        <v>231</v>
      </c>
      <c r="C5" s="332">
        <v>270</v>
      </c>
      <c r="D5" s="327">
        <v>380</v>
      </c>
      <c r="E5" s="332">
        <v>285</v>
      </c>
      <c r="F5" s="332">
        <v>237.5</v>
      </c>
      <c r="G5" s="328">
        <v>240</v>
      </c>
      <c r="H5" s="332"/>
    </row>
    <row r="6" spans="1:8" s="105" customFormat="1" ht="14">
      <c r="A6" s="239"/>
      <c r="B6" s="251" t="s">
        <v>232</v>
      </c>
      <c r="C6" s="327">
        <v>250</v>
      </c>
      <c r="D6" s="327">
        <v>345</v>
      </c>
      <c r="E6" s="327">
        <v>280</v>
      </c>
      <c r="F6" s="327">
        <v>231.75</v>
      </c>
      <c r="G6" s="327">
        <v>223.7</v>
      </c>
      <c r="H6" s="327">
        <v>90</v>
      </c>
    </row>
    <row r="7" spans="1:8" s="105" customFormat="1" ht="14">
      <c r="A7" s="239"/>
      <c r="B7" s="251" t="s">
        <v>233</v>
      </c>
      <c r="C7" s="327">
        <v>302</v>
      </c>
      <c r="D7" s="327">
        <v>385</v>
      </c>
      <c r="E7" s="327">
        <v>245</v>
      </c>
      <c r="F7" s="327">
        <v>250</v>
      </c>
      <c r="G7" s="327">
        <v>240</v>
      </c>
      <c r="H7" s="327">
        <v>110</v>
      </c>
    </row>
    <row r="8" spans="1:8" s="105" customFormat="1" ht="14">
      <c r="A8" s="240"/>
      <c r="B8" s="252" t="s">
        <v>234</v>
      </c>
      <c r="C8" s="329">
        <v>270</v>
      </c>
      <c r="D8" s="329">
        <v>351.5</v>
      </c>
      <c r="E8" s="329">
        <v>287.5</v>
      </c>
      <c r="F8" s="329">
        <v>255</v>
      </c>
      <c r="G8" s="329">
        <v>212</v>
      </c>
      <c r="H8" s="329">
        <v>198</v>
      </c>
    </row>
    <row r="9" spans="1:8" s="105" customFormat="1" ht="14">
      <c r="A9" s="239">
        <v>2016</v>
      </c>
      <c r="B9" s="247" t="s">
        <v>231</v>
      </c>
      <c r="C9" s="332">
        <v>277</v>
      </c>
      <c r="D9" s="327">
        <v>295</v>
      </c>
      <c r="E9" s="332">
        <v>250</v>
      </c>
      <c r="F9" s="332">
        <v>255</v>
      </c>
      <c r="G9" s="328">
        <v>213.5</v>
      </c>
      <c r="H9" s="332">
        <v>110</v>
      </c>
    </row>
    <row r="10" spans="1:8" s="105" customFormat="1" ht="14">
      <c r="A10" s="239"/>
      <c r="B10" s="251" t="s">
        <v>232</v>
      </c>
      <c r="C10" s="327">
        <v>255</v>
      </c>
      <c r="D10" s="327">
        <v>268</v>
      </c>
      <c r="E10" s="327">
        <v>291.5</v>
      </c>
      <c r="F10" s="327">
        <v>255</v>
      </c>
      <c r="G10" s="327">
        <v>96</v>
      </c>
      <c r="H10" s="327">
        <v>66</v>
      </c>
    </row>
    <row r="11" spans="1:8" s="105" customFormat="1" ht="14">
      <c r="A11" s="239"/>
      <c r="B11" s="251" t="s">
        <v>233</v>
      </c>
      <c r="C11" s="327">
        <v>280</v>
      </c>
      <c r="D11" s="327">
        <v>287.5</v>
      </c>
      <c r="E11" s="327">
        <v>300</v>
      </c>
      <c r="F11" s="327">
        <v>215.5</v>
      </c>
      <c r="G11" s="327">
        <v>195</v>
      </c>
      <c r="H11" s="327">
        <v>58</v>
      </c>
    </row>
    <row r="12" spans="1:8" s="105" customFormat="1" ht="14">
      <c r="A12" s="240"/>
      <c r="B12" s="252" t="s">
        <v>234</v>
      </c>
      <c r="C12" s="329">
        <v>280</v>
      </c>
      <c r="D12" s="329">
        <v>350</v>
      </c>
      <c r="E12" s="329">
        <v>270</v>
      </c>
      <c r="F12" s="329">
        <v>265</v>
      </c>
      <c r="G12" s="329">
        <v>255</v>
      </c>
      <c r="H12" s="329">
        <v>69</v>
      </c>
    </row>
    <row r="13" spans="1:8" s="105" customFormat="1" ht="14">
      <c r="A13" s="238">
        <v>2017</v>
      </c>
      <c r="B13" s="247" t="s">
        <v>231</v>
      </c>
      <c r="C13" s="332">
        <v>290</v>
      </c>
      <c r="D13" s="332">
        <v>315</v>
      </c>
      <c r="E13" s="332">
        <v>286</v>
      </c>
      <c r="F13" s="332">
        <v>255</v>
      </c>
      <c r="G13" s="333">
        <v>501.5</v>
      </c>
      <c r="H13" s="332">
        <v>84.167179999999988</v>
      </c>
    </row>
    <row r="14" spans="1:8" s="105" customFormat="1" ht="14">
      <c r="A14" s="241"/>
      <c r="B14" s="251" t="s">
        <v>232</v>
      </c>
      <c r="C14" s="327">
        <v>300</v>
      </c>
      <c r="D14" s="327">
        <v>326.5</v>
      </c>
      <c r="E14" s="327">
        <v>305</v>
      </c>
      <c r="F14" s="327">
        <v>240</v>
      </c>
      <c r="G14" s="327">
        <v>328</v>
      </c>
      <c r="H14" s="327"/>
    </row>
    <row r="15" spans="1:8" s="105" customFormat="1" ht="14">
      <c r="A15" s="239"/>
      <c r="B15" s="251" t="s">
        <v>233</v>
      </c>
      <c r="C15" s="327">
        <v>274</v>
      </c>
      <c r="D15" s="327">
        <v>348</v>
      </c>
      <c r="E15" s="327">
        <v>280</v>
      </c>
      <c r="F15" s="327">
        <v>230</v>
      </c>
      <c r="G15" s="327">
        <v>210</v>
      </c>
      <c r="H15" s="327">
        <v>220</v>
      </c>
    </row>
    <row r="16" spans="1:8" s="105" customFormat="1" ht="14">
      <c r="A16" s="242"/>
      <c r="B16" s="252" t="s">
        <v>234</v>
      </c>
      <c r="C16" s="329">
        <v>275</v>
      </c>
      <c r="D16" s="329">
        <v>297.5</v>
      </c>
      <c r="E16" s="329">
        <v>287</v>
      </c>
      <c r="F16" s="329">
        <v>230</v>
      </c>
      <c r="G16" s="329">
        <v>367.5</v>
      </c>
      <c r="H16" s="329"/>
    </row>
    <row r="17" spans="1:9" s="105" customFormat="1" ht="14">
      <c r="A17" s="238">
        <v>2018</v>
      </c>
      <c r="B17" s="272" t="s">
        <v>231</v>
      </c>
      <c r="C17" s="332">
        <v>265</v>
      </c>
      <c r="D17" s="332">
        <v>299</v>
      </c>
      <c r="E17" s="332">
        <v>270</v>
      </c>
      <c r="F17" s="332">
        <v>195</v>
      </c>
      <c r="G17" s="332">
        <v>205</v>
      </c>
      <c r="H17" s="337">
        <v>132.5</v>
      </c>
    </row>
    <row r="18" spans="1:9" s="105" customFormat="1" ht="14">
      <c r="A18" s="239"/>
      <c r="B18" s="273" t="s">
        <v>232</v>
      </c>
      <c r="C18" s="327">
        <v>264</v>
      </c>
      <c r="D18" s="327">
        <v>285</v>
      </c>
      <c r="E18" s="327">
        <v>260</v>
      </c>
      <c r="F18" s="327">
        <v>250</v>
      </c>
      <c r="G18" s="327">
        <v>283</v>
      </c>
      <c r="H18" s="336">
        <v>300</v>
      </c>
    </row>
    <row r="19" spans="1:9" s="105" customFormat="1" ht="14">
      <c r="A19" s="239"/>
      <c r="B19" s="273" t="s">
        <v>233</v>
      </c>
      <c r="C19" s="327">
        <v>258</v>
      </c>
      <c r="D19" s="327">
        <v>282</v>
      </c>
      <c r="E19" s="403">
        <v>255</v>
      </c>
      <c r="F19" s="327">
        <v>235</v>
      </c>
      <c r="G19" s="327">
        <v>271.5</v>
      </c>
      <c r="H19" s="336">
        <v>91</v>
      </c>
    </row>
    <row r="20" spans="1:9" s="105" customFormat="1" ht="14">
      <c r="A20" s="240"/>
      <c r="B20" s="274" t="s">
        <v>234</v>
      </c>
      <c r="C20" s="329">
        <v>269</v>
      </c>
      <c r="D20" s="329">
        <v>289.5</v>
      </c>
      <c r="E20" s="329">
        <v>254</v>
      </c>
      <c r="F20" s="329">
        <v>250</v>
      </c>
      <c r="G20" s="329">
        <v>237.5</v>
      </c>
      <c r="H20" s="342">
        <v>304.8</v>
      </c>
    </row>
    <row r="21" spans="1:9" s="105" customFormat="1" ht="14">
      <c r="A21" s="238">
        <v>2019</v>
      </c>
      <c r="B21" s="272" t="s">
        <v>231</v>
      </c>
      <c r="C21" s="332">
        <v>274</v>
      </c>
      <c r="D21" s="332">
        <v>302.3</v>
      </c>
      <c r="E21" s="332">
        <v>250</v>
      </c>
      <c r="F21" s="332">
        <v>199</v>
      </c>
      <c r="G21" s="332">
        <v>325</v>
      </c>
      <c r="H21" s="332"/>
    </row>
    <row r="22" spans="1:9" s="105" customFormat="1" ht="14">
      <c r="A22" s="239"/>
      <c r="B22" s="273" t="s">
        <v>232</v>
      </c>
      <c r="C22" s="327">
        <v>253</v>
      </c>
      <c r="D22" s="327">
        <v>285</v>
      </c>
      <c r="E22" s="327">
        <v>268</v>
      </c>
      <c r="F22" s="327">
        <v>200</v>
      </c>
      <c r="G22" s="327">
        <v>199</v>
      </c>
      <c r="H22" s="327">
        <v>125</v>
      </c>
    </row>
    <row r="23" spans="1:9" s="105" customFormat="1" ht="14">
      <c r="A23" s="239"/>
      <c r="B23" s="273" t="s">
        <v>233</v>
      </c>
      <c r="C23" s="327">
        <v>250</v>
      </c>
      <c r="D23" s="402">
        <v>288</v>
      </c>
      <c r="E23" s="403">
        <v>295</v>
      </c>
      <c r="F23" s="328">
        <v>200</v>
      </c>
      <c r="G23" s="403">
        <v>195</v>
      </c>
      <c r="H23" s="336">
        <v>85</v>
      </c>
      <c r="I23" s="112"/>
    </row>
    <row r="24" spans="1:9" s="105" customFormat="1" ht="14">
      <c r="A24" s="240"/>
      <c r="B24" s="274" t="s">
        <v>234</v>
      </c>
      <c r="C24" s="329">
        <v>258</v>
      </c>
      <c r="D24" s="330">
        <v>287</v>
      </c>
      <c r="E24" s="329">
        <v>293</v>
      </c>
      <c r="F24" s="330">
        <v>226</v>
      </c>
      <c r="G24" s="329">
        <v>223</v>
      </c>
      <c r="H24" s="342"/>
    </row>
    <row r="25" spans="1:9" s="105" customFormat="1" ht="14">
      <c r="A25" s="238">
        <v>2020</v>
      </c>
      <c r="B25" s="272" t="s">
        <v>231</v>
      </c>
      <c r="C25" s="332">
        <v>248</v>
      </c>
      <c r="D25" s="332">
        <v>305</v>
      </c>
      <c r="E25" s="332">
        <v>254</v>
      </c>
      <c r="F25" s="332">
        <v>164</v>
      </c>
      <c r="G25" s="332">
        <v>225</v>
      </c>
      <c r="H25" s="332"/>
    </row>
    <row r="26" spans="1:9" s="105" customFormat="1" ht="14">
      <c r="A26" s="239"/>
      <c r="B26" s="273" t="s">
        <v>232</v>
      </c>
      <c r="C26" s="327">
        <v>247.30699999999999</v>
      </c>
      <c r="D26" s="327">
        <v>266.5</v>
      </c>
      <c r="E26" s="327">
        <v>280</v>
      </c>
      <c r="F26" s="327">
        <v>165</v>
      </c>
      <c r="G26" s="327">
        <v>233</v>
      </c>
      <c r="H26" s="327">
        <v>90</v>
      </c>
    </row>
    <row r="27" spans="1:9" s="105" customFormat="1" ht="14">
      <c r="A27" s="239"/>
      <c r="B27" s="273" t="s">
        <v>233</v>
      </c>
      <c r="C27" s="327">
        <v>240</v>
      </c>
      <c r="D27" s="327">
        <v>270</v>
      </c>
      <c r="E27" s="327">
        <v>248</v>
      </c>
      <c r="F27" s="327">
        <v>200</v>
      </c>
      <c r="G27" s="327">
        <v>215</v>
      </c>
      <c r="H27" s="327">
        <v>152</v>
      </c>
    </row>
    <row r="28" spans="1:9" s="105" customFormat="1" ht="14">
      <c r="A28" s="240"/>
      <c r="B28" s="274" t="s">
        <v>234</v>
      </c>
      <c r="C28" s="329">
        <v>250</v>
      </c>
      <c r="D28" s="329">
        <v>290</v>
      </c>
      <c r="E28" s="329">
        <v>250</v>
      </c>
      <c r="F28" s="329">
        <v>205</v>
      </c>
      <c r="G28" s="329">
        <v>222</v>
      </c>
      <c r="H28" s="329">
        <v>72.5</v>
      </c>
    </row>
    <row r="29" spans="1:9" s="105" customFormat="1" ht="14">
      <c r="A29" s="238">
        <v>2021</v>
      </c>
      <c r="B29" s="272" t="s">
        <v>231</v>
      </c>
      <c r="C29" s="332">
        <v>249.5</v>
      </c>
      <c r="D29" s="332">
        <v>285</v>
      </c>
      <c r="E29" s="332">
        <v>179</v>
      </c>
      <c r="F29" s="332">
        <v>217.5</v>
      </c>
      <c r="G29" s="332">
        <v>218</v>
      </c>
      <c r="H29" s="332">
        <v>150</v>
      </c>
    </row>
    <row r="30" spans="1:9" s="105" customFormat="1" ht="14">
      <c r="A30" s="239"/>
      <c r="B30" s="273" t="s">
        <v>232</v>
      </c>
      <c r="C30" s="403">
        <v>282</v>
      </c>
      <c r="D30" s="403">
        <v>299</v>
      </c>
      <c r="E30" s="403">
        <v>280</v>
      </c>
      <c r="F30" s="327">
        <v>215</v>
      </c>
      <c r="G30" s="327">
        <v>272</v>
      </c>
      <c r="H30" s="327">
        <v>99</v>
      </c>
    </row>
    <row r="31" spans="1:9" s="105" customFormat="1" ht="14">
      <c r="A31" s="239"/>
      <c r="B31" s="273" t="s">
        <v>233</v>
      </c>
      <c r="C31" s="327">
        <v>250</v>
      </c>
      <c r="D31" s="327">
        <v>258</v>
      </c>
      <c r="E31" s="327">
        <v>260</v>
      </c>
      <c r="F31" s="327">
        <v>197.5</v>
      </c>
      <c r="G31" s="327">
        <v>250</v>
      </c>
      <c r="H31" s="327"/>
    </row>
    <row r="32" spans="1:9" s="105" customFormat="1" ht="14">
      <c r="A32" s="240"/>
      <c r="B32" s="274" t="s">
        <v>234</v>
      </c>
      <c r="C32" s="538">
        <v>268</v>
      </c>
      <c r="D32" s="329">
        <v>298</v>
      </c>
      <c r="E32" s="329">
        <v>250</v>
      </c>
      <c r="F32" s="329">
        <v>211</v>
      </c>
      <c r="G32" s="329">
        <v>240</v>
      </c>
      <c r="H32" s="329">
        <v>187.5</v>
      </c>
    </row>
    <row r="33" spans="1:8" s="105" customFormat="1" ht="14">
      <c r="A33" s="238">
        <v>2022</v>
      </c>
      <c r="B33" s="272" t="s">
        <v>231</v>
      </c>
      <c r="C33" s="332">
        <v>242.5</v>
      </c>
      <c r="D33" s="332">
        <v>270</v>
      </c>
      <c r="E33" s="332">
        <v>250</v>
      </c>
      <c r="F33" s="332">
        <v>203</v>
      </c>
      <c r="G33" s="332">
        <v>223</v>
      </c>
      <c r="H33" s="332"/>
    </row>
    <row r="34" spans="1:8" s="105" customFormat="1" ht="14">
      <c r="A34" s="239"/>
      <c r="B34" s="273" t="s">
        <v>232</v>
      </c>
      <c r="C34" s="327">
        <v>247.5</v>
      </c>
      <c r="D34" s="327">
        <v>270</v>
      </c>
      <c r="E34" s="327">
        <v>250</v>
      </c>
      <c r="F34" s="327">
        <v>211.8</v>
      </c>
      <c r="G34" s="327">
        <v>400</v>
      </c>
      <c r="H34" s="327">
        <v>122</v>
      </c>
    </row>
    <row r="35" spans="1:8" s="105" customFormat="1" ht="14">
      <c r="A35" s="239"/>
      <c r="B35" s="273" t="s">
        <v>233</v>
      </c>
      <c r="C35" s="327">
        <v>260</v>
      </c>
      <c r="D35" s="327">
        <v>285</v>
      </c>
      <c r="E35" s="327">
        <v>275</v>
      </c>
      <c r="F35" s="327">
        <v>212.5</v>
      </c>
      <c r="G35" s="327">
        <v>316</v>
      </c>
      <c r="H35" s="327"/>
    </row>
    <row r="36" spans="1:8" s="105" customFormat="1" ht="14">
      <c r="A36" s="240"/>
      <c r="B36" s="274" t="s">
        <v>234</v>
      </c>
      <c r="C36" s="329">
        <v>260</v>
      </c>
      <c r="D36" s="329">
        <v>290</v>
      </c>
      <c r="E36" s="329">
        <v>280</v>
      </c>
      <c r="F36" s="329">
        <v>215</v>
      </c>
      <c r="G36" s="329">
        <v>230</v>
      </c>
      <c r="H36" s="329">
        <v>470</v>
      </c>
    </row>
    <row r="37" spans="1:8" s="105" customFormat="1" ht="14">
      <c r="A37" s="238">
        <v>2023</v>
      </c>
      <c r="B37" s="272" t="s">
        <v>231</v>
      </c>
      <c r="C37" s="332">
        <v>251</v>
      </c>
      <c r="D37" s="332">
        <v>278</v>
      </c>
      <c r="E37" s="332">
        <v>275</v>
      </c>
      <c r="F37" s="332">
        <v>213</v>
      </c>
      <c r="G37" s="332">
        <v>467</v>
      </c>
      <c r="H37" s="332">
        <v>65</v>
      </c>
    </row>
    <row r="38" spans="1:8" s="105" customFormat="1" ht="14">
      <c r="A38" s="239"/>
      <c r="B38" s="273" t="s">
        <v>232</v>
      </c>
      <c r="C38" s="327">
        <v>247</v>
      </c>
      <c r="D38" s="327">
        <v>309</v>
      </c>
      <c r="E38" s="327">
        <v>269</v>
      </c>
      <c r="F38" s="327">
        <v>200</v>
      </c>
      <c r="G38" s="327">
        <v>235</v>
      </c>
      <c r="H38" s="327">
        <v>165</v>
      </c>
    </row>
    <row r="39" spans="1:8" s="105" customFormat="1" ht="14">
      <c r="A39" s="239"/>
      <c r="B39" s="273" t="s">
        <v>233</v>
      </c>
      <c r="C39" s="327">
        <v>258</v>
      </c>
      <c r="D39" s="327">
        <v>284</v>
      </c>
      <c r="E39" s="327">
        <v>270</v>
      </c>
      <c r="F39" s="327">
        <v>214</v>
      </c>
      <c r="G39" s="327">
        <v>212</v>
      </c>
      <c r="H39" s="327"/>
    </row>
    <row r="40" spans="1:8" s="105" customFormat="1" ht="14">
      <c r="A40" s="240"/>
      <c r="B40" s="274" t="s">
        <v>234</v>
      </c>
      <c r="C40" s="329">
        <v>260</v>
      </c>
      <c r="D40" s="329">
        <v>278</v>
      </c>
      <c r="E40" s="329">
        <v>261</v>
      </c>
      <c r="F40" s="329">
        <v>200.5</v>
      </c>
      <c r="G40" s="329">
        <v>195</v>
      </c>
      <c r="H40" s="329"/>
    </row>
    <row r="41" spans="1:8" s="105" customFormat="1" ht="14">
      <c r="A41" s="238">
        <v>2024</v>
      </c>
      <c r="B41" s="272" t="s">
        <v>231</v>
      </c>
      <c r="C41" s="332">
        <v>245</v>
      </c>
      <c r="D41" s="332">
        <v>276.5</v>
      </c>
      <c r="E41" s="332">
        <v>245</v>
      </c>
      <c r="F41" s="332">
        <v>215</v>
      </c>
      <c r="G41" s="332">
        <v>235</v>
      </c>
      <c r="H41" s="332"/>
    </row>
    <row r="42" spans="1:8" s="105" customFormat="1" ht="14">
      <c r="A42" s="239"/>
      <c r="B42" s="273" t="s">
        <v>232</v>
      </c>
      <c r="C42" s="327">
        <v>250</v>
      </c>
      <c r="D42" s="327">
        <v>275</v>
      </c>
      <c r="E42" s="327">
        <v>289</v>
      </c>
      <c r="F42" s="327">
        <v>209</v>
      </c>
      <c r="G42" s="327"/>
      <c r="H42" s="327"/>
    </row>
    <row r="43" spans="1:8" s="105" customFormat="1" ht="14">
      <c r="A43" s="239"/>
      <c r="B43" s="273" t="s">
        <v>233</v>
      </c>
      <c r="C43" s="327">
        <v>250</v>
      </c>
      <c r="D43" s="327">
        <v>256</v>
      </c>
      <c r="E43" s="327">
        <v>265</v>
      </c>
      <c r="F43" s="327">
        <v>193.5</v>
      </c>
      <c r="G43" s="327">
        <v>305</v>
      </c>
      <c r="H43" s="327">
        <v>152</v>
      </c>
    </row>
    <row r="44" spans="1:8" s="105" customFormat="1" ht="14">
      <c r="A44" s="240"/>
      <c r="B44" s="274" t="s">
        <v>234</v>
      </c>
      <c r="C44" s="329">
        <v>235.5</v>
      </c>
      <c r="D44" s="329">
        <v>259</v>
      </c>
      <c r="E44" s="329">
        <v>185.5</v>
      </c>
      <c r="F44" s="329">
        <v>198</v>
      </c>
      <c r="G44" s="329">
        <v>332.5</v>
      </c>
      <c r="H44" s="329">
        <v>150</v>
      </c>
    </row>
    <row r="45" spans="1:8" s="105" customFormat="1" ht="14">
      <c r="A45" s="238">
        <v>2025</v>
      </c>
      <c r="B45" s="272" t="s">
        <v>231</v>
      </c>
      <c r="C45" s="332">
        <v>215</v>
      </c>
      <c r="D45" s="332">
        <v>230</v>
      </c>
      <c r="E45" s="332">
        <v>220</v>
      </c>
      <c r="F45" s="332">
        <v>225</v>
      </c>
      <c r="G45" s="332">
        <v>137</v>
      </c>
      <c r="H45" s="332"/>
    </row>
    <row r="46" spans="1:8" s="105" customFormat="1" ht="14">
      <c r="A46" s="239"/>
      <c r="B46" s="273" t="s">
        <v>232</v>
      </c>
      <c r="C46" s="327">
        <v>254</v>
      </c>
      <c r="D46" s="327">
        <v>278.5</v>
      </c>
      <c r="E46" s="327">
        <v>198.5</v>
      </c>
      <c r="F46" s="327">
        <v>230</v>
      </c>
      <c r="G46" s="327">
        <v>206</v>
      </c>
      <c r="H46" s="327">
        <v>110</v>
      </c>
    </row>
    <row r="47" spans="1:8" s="105" customFormat="1" ht="14">
      <c r="A47" s="239"/>
      <c r="B47" s="273" t="s">
        <v>233</v>
      </c>
      <c r="C47" s="327">
        <v>230</v>
      </c>
      <c r="D47" s="327">
        <v>239.5</v>
      </c>
      <c r="E47" s="327">
        <v>189</v>
      </c>
      <c r="F47" s="327">
        <v>195</v>
      </c>
      <c r="G47" s="327">
        <v>248</v>
      </c>
      <c r="H47" s="327"/>
    </row>
    <row r="48" spans="1:8" s="105" customFormat="1" ht="14">
      <c r="A48" s="240"/>
      <c r="B48" s="274" t="s">
        <v>234</v>
      </c>
      <c r="C48" s="329">
        <v>246.5</v>
      </c>
      <c r="D48" s="329">
        <v>260</v>
      </c>
      <c r="E48" s="329">
        <v>263</v>
      </c>
      <c r="F48" s="329">
        <v>200</v>
      </c>
      <c r="G48" s="329">
        <v>224.185</v>
      </c>
      <c r="H48" s="329">
        <v>265</v>
      </c>
    </row>
    <row r="49" spans="1:8">
      <c r="B49" s="67"/>
    </row>
    <row r="50" spans="1:8">
      <c r="A50" s="171" t="s">
        <v>118</v>
      </c>
    </row>
    <row r="51" spans="1:8">
      <c r="A51" s="161" t="s">
        <v>411</v>
      </c>
      <c r="F51" s="80"/>
    </row>
    <row r="52" spans="1:8" ht="12" customHeight="1">
      <c r="A52" s="168" t="s">
        <v>168</v>
      </c>
    </row>
    <row r="54" spans="1:8">
      <c r="C54" s="80"/>
      <c r="D54" s="80"/>
      <c r="E54" s="80"/>
      <c r="F54" s="80"/>
      <c r="G54" s="80"/>
      <c r="H54" s="80"/>
    </row>
    <row r="55" spans="1:8">
      <c r="C55" s="80"/>
      <c r="D55" s="80"/>
      <c r="E55" s="80"/>
      <c r="F55" s="80"/>
      <c r="G55" s="80"/>
      <c r="H55" s="80"/>
    </row>
    <row r="57" spans="1:8">
      <c r="D57" s="171"/>
    </row>
    <row r="58" spans="1:8">
      <c r="D58" s="161"/>
    </row>
    <row r="59" spans="1:8">
      <c r="D59" s="161"/>
    </row>
    <row r="60" spans="1:8">
      <c r="D60" s="161"/>
    </row>
  </sheetData>
  <sheetProtection sheet="1" formatCells="0" insertColumns="0" insertRows="0" deleteColumns="0" deleteRows="0"/>
  <mergeCells count="3">
    <mergeCell ref="A2:H2"/>
    <mergeCell ref="A3:B4"/>
    <mergeCell ref="C3:H3"/>
  </mergeCells>
  <printOptions horizontalCentered="1"/>
  <pageMargins left="0.7" right="0.7" top="0.75" bottom="0.75" header="0.3" footer="0.3"/>
  <pageSetup paperSize="9" scale="9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52"/>
  <sheetViews>
    <sheetView topLeftCell="A14" zoomScaleNormal="100" workbookViewId="0">
      <selection activeCell="C48" sqref="C48"/>
    </sheetView>
  </sheetViews>
  <sheetFormatPr defaultColWidth="9.1796875" defaultRowHeight="13"/>
  <cols>
    <col min="1" max="1" width="7.81640625" style="65" customWidth="1"/>
    <col min="2" max="2" width="7.453125" style="65" customWidth="1"/>
    <col min="3" max="3" width="15" style="65" customWidth="1"/>
    <col min="4" max="12" width="13.81640625" style="65" customWidth="1"/>
    <col min="13" max="16384" width="9.1796875" style="65"/>
  </cols>
  <sheetData>
    <row r="1" spans="1:3" ht="15.5">
      <c r="A1" s="523" t="s">
        <v>311</v>
      </c>
    </row>
    <row r="3" spans="1:3" ht="14">
      <c r="A3" s="768" t="s">
        <v>312</v>
      </c>
      <c r="B3" s="768"/>
      <c r="C3" s="768"/>
    </row>
    <row r="4" spans="1:3" s="91" customFormat="1" ht="14">
      <c r="A4" s="719" t="s">
        <v>98</v>
      </c>
      <c r="B4" s="720"/>
      <c r="C4" s="281" t="s">
        <v>299</v>
      </c>
    </row>
    <row r="5" spans="1:3" s="91" customFormat="1" ht="14">
      <c r="A5" s="239">
        <v>2015</v>
      </c>
      <c r="B5" s="247" t="s">
        <v>231</v>
      </c>
      <c r="C5" s="318">
        <v>100</v>
      </c>
    </row>
    <row r="6" spans="1:3" s="91" customFormat="1" ht="14">
      <c r="A6" s="239"/>
      <c r="B6" s="251" t="s">
        <v>232</v>
      </c>
      <c r="C6" s="319">
        <v>96.152472428397857</v>
      </c>
    </row>
    <row r="7" spans="1:3" s="91" customFormat="1" ht="14">
      <c r="A7" s="239"/>
      <c r="B7" s="251" t="s">
        <v>233</v>
      </c>
      <c r="C7" s="319">
        <v>99.59691457898613</v>
      </c>
    </row>
    <row r="8" spans="1:3" s="91" customFormat="1" ht="14">
      <c r="A8" s="240"/>
      <c r="B8" s="252" t="s">
        <v>234</v>
      </c>
      <c r="C8" s="320">
        <v>94.473576910414295</v>
      </c>
    </row>
    <row r="9" spans="1:3" s="91" customFormat="1" ht="14">
      <c r="A9" s="239">
        <v>2016</v>
      </c>
      <c r="B9" s="247" t="s">
        <v>231</v>
      </c>
      <c r="C9" s="318">
        <v>91.674859923521595</v>
      </c>
    </row>
    <row r="10" spans="1:3" s="91" customFormat="1" ht="14">
      <c r="A10" s="239"/>
      <c r="B10" s="251" t="s">
        <v>232</v>
      </c>
      <c r="C10" s="319">
        <v>88.260986941784935</v>
      </c>
    </row>
    <row r="11" spans="1:3" s="91" customFormat="1" ht="14">
      <c r="A11" s="239"/>
      <c r="B11" s="251" t="s">
        <v>233</v>
      </c>
      <c r="C11" s="319">
        <v>93.968929085747575</v>
      </c>
    </row>
    <row r="12" spans="1:3" s="91" customFormat="1" ht="14">
      <c r="A12" s="240"/>
      <c r="B12" s="252" t="s">
        <v>234</v>
      </c>
      <c r="C12" s="320">
        <v>90.931837372900176</v>
      </c>
    </row>
    <row r="13" spans="1:3" s="91" customFormat="1" ht="14">
      <c r="A13" s="239">
        <v>2017</v>
      </c>
      <c r="B13" s="247" t="s">
        <v>231</v>
      </c>
      <c r="C13" s="318">
        <v>89.983847858775931</v>
      </c>
    </row>
    <row r="14" spans="1:3" s="91" customFormat="1" ht="14">
      <c r="A14" s="239"/>
      <c r="B14" s="251" t="s">
        <v>232</v>
      </c>
      <c r="C14" s="319">
        <v>99.963306733626212</v>
      </c>
    </row>
    <row r="15" spans="1:3" s="91" customFormat="1" ht="14">
      <c r="A15" s="239"/>
      <c r="B15" s="251" t="s">
        <v>233</v>
      </c>
      <c r="C15" s="319">
        <v>90.620384841220528</v>
      </c>
    </row>
    <row r="16" spans="1:3" s="91" customFormat="1" ht="14">
      <c r="A16" s="240"/>
      <c r="B16" s="252" t="s">
        <v>234</v>
      </c>
      <c r="C16" s="320">
        <v>94.939722098202168</v>
      </c>
    </row>
    <row r="17" spans="1:4" s="91" customFormat="1" ht="14">
      <c r="A17" s="238">
        <v>2018</v>
      </c>
      <c r="B17" s="247" t="s">
        <v>231</v>
      </c>
      <c r="C17" s="310">
        <v>87.281033790877046</v>
      </c>
    </row>
    <row r="18" spans="1:4" s="91" customFormat="1" ht="14">
      <c r="A18" s="239"/>
      <c r="B18" s="251" t="s">
        <v>232</v>
      </c>
      <c r="C18" s="312">
        <v>90.663536422623395</v>
      </c>
    </row>
    <row r="19" spans="1:4" s="91" customFormat="1" ht="14">
      <c r="A19" s="239"/>
      <c r="B19" s="251" t="s">
        <v>233</v>
      </c>
      <c r="C19" s="312">
        <v>85.452293741193401</v>
      </c>
    </row>
    <row r="20" spans="1:4" s="91" customFormat="1" ht="14">
      <c r="A20" s="240"/>
      <c r="B20" s="252" t="s">
        <v>234</v>
      </c>
      <c r="C20" s="314">
        <v>86.724398080774336</v>
      </c>
    </row>
    <row r="21" spans="1:4" s="91" customFormat="1" ht="14">
      <c r="A21" s="238">
        <v>2019</v>
      </c>
      <c r="B21" s="272" t="s">
        <v>231</v>
      </c>
      <c r="C21" s="318">
        <v>91.551155331460905</v>
      </c>
    </row>
    <row r="22" spans="1:4" s="91" customFormat="1" ht="14">
      <c r="A22" s="239"/>
      <c r="B22" s="273" t="s">
        <v>232</v>
      </c>
      <c r="C22" s="319">
        <v>89.22</v>
      </c>
    </row>
    <row r="23" spans="1:4" s="91" customFormat="1" ht="14">
      <c r="A23" s="239"/>
      <c r="B23" s="273" t="s">
        <v>233</v>
      </c>
      <c r="C23" s="319">
        <v>95.403099999999995</v>
      </c>
    </row>
    <row r="24" spans="1:4" s="91" customFormat="1" ht="14">
      <c r="A24" s="240"/>
      <c r="B24" s="274" t="s">
        <v>234</v>
      </c>
      <c r="C24" s="320">
        <v>95.251607520328179</v>
      </c>
    </row>
    <row r="25" spans="1:4" ht="14">
      <c r="A25" s="238">
        <v>2020</v>
      </c>
      <c r="B25" s="272" t="s">
        <v>231</v>
      </c>
      <c r="C25" s="318">
        <v>91.119505363649282</v>
      </c>
    </row>
    <row r="26" spans="1:4" ht="14">
      <c r="A26" s="239"/>
      <c r="B26" s="273" t="s">
        <v>232</v>
      </c>
      <c r="C26" s="319">
        <v>84.623151766668897</v>
      </c>
    </row>
    <row r="27" spans="1:4" ht="14">
      <c r="A27" s="239"/>
      <c r="B27" s="273" t="s">
        <v>233</v>
      </c>
      <c r="C27" s="319">
        <v>91.686201238802283</v>
      </c>
    </row>
    <row r="28" spans="1:4" ht="14">
      <c r="A28" s="240"/>
      <c r="B28" s="274" t="s">
        <v>234</v>
      </c>
      <c r="C28" s="320">
        <v>90.5611117452343</v>
      </c>
    </row>
    <row r="29" spans="1:4" ht="14">
      <c r="A29" s="238">
        <v>2021</v>
      </c>
      <c r="B29" s="272" t="s">
        <v>231</v>
      </c>
      <c r="C29" s="318">
        <v>92.808932515815002</v>
      </c>
      <c r="D29" s="71"/>
    </row>
    <row r="30" spans="1:4" ht="14">
      <c r="A30" s="239"/>
      <c r="B30" s="273" t="s">
        <v>232</v>
      </c>
      <c r="C30" s="687">
        <v>93.899765673219846</v>
      </c>
      <c r="D30" s="199"/>
    </row>
    <row r="31" spans="1:4" ht="14">
      <c r="A31" s="239"/>
      <c r="B31" s="273" t="s">
        <v>233</v>
      </c>
      <c r="C31" s="687">
        <v>93.131352647141398</v>
      </c>
      <c r="D31" s="199"/>
    </row>
    <row r="32" spans="1:4" ht="14">
      <c r="A32" s="240"/>
      <c r="B32" s="274" t="s">
        <v>234</v>
      </c>
      <c r="C32" s="688">
        <v>97.638403129749463</v>
      </c>
      <c r="D32" s="199"/>
    </row>
    <row r="33" spans="1:4" ht="14">
      <c r="A33" s="238">
        <v>2022</v>
      </c>
      <c r="B33" s="272" t="s">
        <v>231</v>
      </c>
      <c r="C33" s="689">
        <v>88.321705315755622</v>
      </c>
      <c r="D33" s="199"/>
    </row>
    <row r="34" spans="1:4" ht="14">
      <c r="A34" s="239"/>
      <c r="B34" s="273" t="s">
        <v>232</v>
      </c>
      <c r="C34" s="319">
        <v>93.075397520400301</v>
      </c>
      <c r="D34" s="71"/>
    </row>
    <row r="35" spans="1:4" ht="14">
      <c r="A35" s="239"/>
      <c r="B35" s="273" t="s">
        <v>233</v>
      </c>
      <c r="C35" s="319">
        <v>91.614072584775556</v>
      </c>
      <c r="D35" s="71"/>
    </row>
    <row r="36" spans="1:4" ht="14">
      <c r="A36" s="240"/>
      <c r="B36" s="274" t="s">
        <v>234</v>
      </c>
      <c r="C36" s="320">
        <v>98.3083424424306</v>
      </c>
      <c r="D36" s="71"/>
    </row>
    <row r="37" spans="1:4" ht="14">
      <c r="A37" s="238">
        <v>2023</v>
      </c>
      <c r="B37" s="272" t="s">
        <v>231</v>
      </c>
      <c r="C37" s="318">
        <v>96.504717264317733</v>
      </c>
      <c r="D37" s="71"/>
    </row>
    <row r="38" spans="1:4" ht="14">
      <c r="A38" s="239"/>
      <c r="B38" s="273" t="s">
        <v>232</v>
      </c>
      <c r="C38" s="319">
        <v>92.571367791018048</v>
      </c>
      <c r="D38" s="71"/>
    </row>
    <row r="39" spans="1:4" ht="14">
      <c r="A39" s="239"/>
      <c r="B39" s="273" t="s">
        <v>233</v>
      </c>
      <c r="C39" s="319">
        <v>97.750458629683379</v>
      </c>
      <c r="D39" s="71"/>
    </row>
    <row r="40" spans="1:4" ht="14">
      <c r="A40" s="240"/>
      <c r="B40" s="274" t="s">
        <v>234</v>
      </c>
      <c r="C40" s="320">
        <v>91.81814083801963</v>
      </c>
      <c r="D40" s="71"/>
    </row>
    <row r="41" spans="1:4" ht="14">
      <c r="A41" s="238">
        <v>2024</v>
      </c>
      <c r="B41" s="272" t="s">
        <v>231</v>
      </c>
      <c r="C41" s="318">
        <v>92.271451338033671</v>
      </c>
      <c r="D41" s="71"/>
    </row>
    <row r="42" spans="1:4" ht="14">
      <c r="A42" s="239"/>
      <c r="B42" s="273" t="s">
        <v>232</v>
      </c>
      <c r="C42" s="319">
        <v>95.05464187326271</v>
      </c>
      <c r="D42" s="71"/>
    </row>
    <row r="43" spans="1:4" ht="14">
      <c r="A43" s="239"/>
      <c r="B43" s="273" t="s">
        <v>233</v>
      </c>
      <c r="C43" s="319">
        <v>93.577306658926076</v>
      </c>
      <c r="D43" s="71"/>
    </row>
    <row r="44" spans="1:4" ht="14">
      <c r="A44" s="240"/>
      <c r="B44" s="274" t="s">
        <v>234</v>
      </c>
      <c r="C44" s="320">
        <v>89.506827193450363</v>
      </c>
      <c r="D44" s="71"/>
    </row>
    <row r="45" spans="1:4" ht="14">
      <c r="A45" s="238">
        <v>2025</v>
      </c>
      <c r="B45" s="272" t="s">
        <v>231</v>
      </c>
      <c r="C45" s="318">
        <v>87.8</v>
      </c>
      <c r="D45" s="71"/>
    </row>
    <row r="46" spans="1:4" ht="14">
      <c r="A46" s="239"/>
      <c r="B46" s="273" t="s">
        <v>232</v>
      </c>
      <c r="C46" s="319">
        <v>96.506069608326797</v>
      </c>
      <c r="D46" s="71"/>
    </row>
    <row r="47" spans="1:4" ht="14">
      <c r="A47" s="239"/>
      <c r="B47" s="273" t="s">
        <v>233</v>
      </c>
      <c r="C47" s="319">
        <v>88.695832488230891</v>
      </c>
      <c r="D47" s="71"/>
    </row>
    <row r="48" spans="1:4" ht="14">
      <c r="A48" s="240"/>
      <c r="B48" s="274" t="s">
        <v>234</v>
      </c>
      <c r="C48" s="320">
        <v>93.204677095693796</v>
      </c>
      <c r="D48" s="71"/>
    </row>
    <row r="49" spans="1:2">
      <c r="A49" s="190"/>
      <c r="B49" s="190"/>
    </row>
    <row r="50" spans="1:2">
      <c r="A50" s="171" t="s">
        <v>118</v>
      </c>
    </row>
    <row r="51" spans="1:2">
      <c r="A51" s="168" t="s">
        <v>168</v>
      </c>
    </row>
    <row r="52" spans="1:2">
      <c r="A52" s="171"/>
    </row>
  </sheetData>
  <sheetProtection sheet="1" formatCells="0" insertColumns="0" insertRows="0" deleteColumns="0" deleteRows="0"/>
  <mergeCells count="2">
    <mergeCell ref="A3:C3"/>
    <mergeCell ref="A4:B4"/>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107"/>
  <sheetViews>
    <sheetView zoomScaleNormal="100" workbookViewId="0">
      <pane ySplit="11" topLeftCell="A72" activePane="bottomLeft" state="frozen"/>
      <selection activeCell="J154" sqref="J154"/>
      <selection pane="bottomLeft" activeCell="C79" sqref="C79"/>
    </sheetView>
  </sheetViews>
  <sheetFormatPr defaultColWidth="8.81640625" defaultRowHeight="13"/>
  <cols>
    <col min="1" max="1" width="8.81640625" style="119"/>
    <col min="2" max="3" width="13.54296875" style="119" customWidth="1"/>
    <col min="4" max="12" width="17.54296875" style="119" customWidth="1"/>
    <col min="13" max="16384" width="8.81640625" style="119"/>
  </cols>
  <sheetData>
    <row r="1" spans="1:12" ht="15.5">
      <c r="A1" s="709" t="s">
        <v>313</v>
      </c>
      <c r="B1" s="709"/>
      <c r="C1" s="709"/>
      <c r="D1" s="709"/>
      <c r="E1" s="709"/>
      <c r="F1" s="709"/>
      <c r="G1" s="709"/>
      <c r="H1" s="709"/>
      <c r="I1" s="709"/>
      <c r="J1" s="709"/>
      <c r="K1" s="709"/>
      <c r="L1" s="709"/>
    </row>
    <row r="2" spans="1:12">
      <c r="A2" s="68"/>
      <c r="B2" s="65"/>
      <c r="C2" s="65"/>
      <c r="D2" s="65"/>
      <c r="E2" s="65"/>
      <c r="F2" s="65"/>
      <c r="G2" s="65"/>
      <c r="H2" s="65"/>
      <c r="I2" s="65"/>
      <c r="J2" s="65"/>
      <c r="K2" s="65"/>
      <c r="L2" s="65"/>
    </row>
    <row r="3" spans="1:12" ht="18.5" customHeight="1">
      <c r="A3" s="711" t="s">
        <v>314</v>
      </c>
      <c r="B3" s="711"/>
      <c r="C3" s="712" t="s">
        <v>315</v>
      </c>
      <c r="D3" s="713"/>
      <c r="E3" s="713"/>
      <c r="F3" s="714"/>
      <c r="G3" s="91"/>
      <c r="H3" s="91"/>
      <c r="I3" s="91"/>
      <c r="J3" s="91"/>
      <c r="K3" s="91"/>
      <c r="L3" s="91"/>
    </row>
    <row r="4" spans="1:12" ht="14">
      <c r="A4" s="715" t="s">
        <v>316</v>
      </c>
      <c r="B4" s="715"/>
      <c r="C4" s="716" t="s">
        <v>317</v>
      </c>
      <c r="D4" s="716"/>
      <c r="E4" s="716"/>
      <c r="F4" s="716"/>
      <c r="G4" s="91"/>
      <c r="H4" s="91"/>
      <c r="I4" s="91"/>
      <c r="J4" s="91"/>
      <c r="K4" s="91"/>
      <c r="L4" s="91"/>
    </row>
    <row r="5" spans="1:12" ht="14">
      <c r="A5" s="715">
        <v>50</v>
      </c>
      <c r="B5" s="715"/>
      <c r="C5" s="716" t="s">
        <v>318</v>
      </c>
      <c r="D5" s="716"/>
      <c r="E5" s="716"/>
      <c r="F5" s="716"/>
      <c r="G5" s="91"/>
      <c r="H5" s="91"/>
      <c r="I5" s="91"/>
      <c r="J5" s="91"/>
      <c r="K5" s="91"/>
      <c r="L5" s="91"/>
    </row>
    <row r="6" spans="1:12" ht="14">
      <c r="A6" s="715" t="s">
        <v>319</v>
      </c>
      <c r="B6" s="715"/>
      <c r="C6" s="716" t="s">
        <v>320</v>
      </c>
      <c r="D6" s="716"/>
      <c r="E6" s="716"/>
      <c r="F6" s="716"/>
      <c r="G6" s="91"/>
      <c r="H6" s="91"/>
      <c r="I6" s="91"/>
      <c r="J6" s="91"/>
      <c r="K6" s="91"/>
      <c r="L6" s="91"/>
    </row>
    <row r="7" spans="1:12">
      <c r="A7" s="207"/>
      <c r="B7" s="207"/>
      <c r="C7" s="208"/>
      <c r="D7" s="208"/>
      <c r="E7" s="208"/>
      <c r="F7" s="208"/>
      <c r="G7" s="91"/>
      <c r="H7" s="91"/>
      <c r="I7" s="91"/>
      <c r="J7" s="91"/>
      <c r="K7" s="91"/>
      <c r="L7" s="91"/>
    </row>
    <row r="8" spans="1:12">
      <c r="A8" s="726" t="s">
        <v>321</v>
      </c>
      <c r="B8" s="726"/>
      <c r="C8" s="726"/>
      <c r="D8" s="726"/>
      <c r="E8" s="726"/>
      <c r="F8" s="726"/>
      <c r="G8" s="726"/>
      <c r="H8" s="726"/>
      <c r="I8" s="726"/>
      <c r="J8" s="726"/>
      <c r="K8" s="726"/>
      <c r="L8" s="726"/>
    </row>
    <row r="10" spans="1:12" ht="14">
      <c r="A10" s="717" t="s">
        <v>98</v>
      </c>
      <c r="B10" s="718"/>
      <c r="C10" s="721" t="s">
        <v>322</v>
      </c>
      <c r="D10" s="723" t="s">
        <v>323</v>
      </c>
      <c r="E10" s="724"/>
      <c r="F10" s="724"/>
      <c r="G10" s="724"/>
      <c r="H10" s="724"/>
      <c r="I10" s="724"/>
      <c r="J10" s="724"/>
      <c r="K10" s="724"/>
      <c r="L10" s="725"/>
    </row>
    <row r="11" spans="1:12" ht="42">
      <c r="A11" s="719"/>
      <c r="B11" s="720"/>
      <c r="C11" s="722"/>
      <c r="D11" s="376" t="s">
        <v>324</v>
      </c>
      <c r="E11" s="376" t="s">
        <v>325</v>
      </c>
      <c r="F11" s="376" t="s">
        <v>326</v>
      </c>
      <c r="G11" s="376" t="s">
        <v>327</v>
      </c>
      <c r="H11" s="376" t="s">
        <v>328</v>
      </c>
      <c r="I11" s="376" t="s">
        <v>329</v>
      </c>
      <c r="J11" s="277" t="s">
        <v>330</v>
      </c>
      <c r="K11" s="277" t="s">
        <v>331</v>
      </c>
      <c r="L11" s="277" t="s">
        <v>332</v>
      </c>
    </row>
    <row r="12" spans="1:12" ht="14">
      <c r="A12" s="238">
        <v>2020</v>
      </c>
      <c r="B12" s="572" t="s">
        <v>112</v>
      </c>
      <c r="C12" s="578">
        <v>50</v>
      </c>
      <c r="D12" s="579">
        <v>56.500941547897263</v>
      </c>
      <c r="E12" s="578">
        <v>61.372145460730863</v>
      </c>
      <c r="F12" s="578">
        <v>61.353325328636991</v>
      </c>
      <c r="G12" s="578">
        <v>52.70199245394253</v>
      </c>
      <c r="H12" s="578">
        <v>62.75164092199801</v>
      </c>
      <c r="I12" s="578">
        <v>58.148208815220897</v>
      </c>
      <c r="J12" s="578">
        <v>61.856011197859843</v>
      </c>
      <c r="K12" s="578">
        <v>60.373870541936363</v>
      </c>
      <c r="L12" s="579">
        <v>61.84914451229502</v>
      </c>
    </row>
    <row r="13" spans="1:12" ht="14">
      <c r="A13" s="239"/>
      <c r="B13" s="573" t="s">
        <v>113</v>
      </c>
      <c r="C13" s="580">
        <v>50</v>
      </c>
      <c r="D13" s="581">
        <v>74.695686067492417</v>
      </c>
      <c r="E13" s="580">
        <v>45.909705066869407</v>
      </c>
      <c r="F13" s="580">
        <v>54.686882879031401</v>
      </c>
      <c r="G13" s="580">
        <v>36.975328071459508</v>
      </c>
      <c r="H13" s="580">
        <v>76.793779042389389</v>
      </c>
      <c r="I13" s="580">
        <v>34.759782944229173</v>
      </c>
      <c r="J13" s="580">
        <v>63.907182913754809</v>
      </c>
      <c r="K13" s="580">
        <v>52.188111825021387</v>
      </c>
      <c r="L13" s="581">
        <v>48.110034009346478</v>
      </c>
    </row>
    <row r="14" spans="1:12" ht="14">
      <c r="A14" s="239"/>
      <c r="B14" s="573" t="s">
        <v>114</v>
      </c>
      <c r="C14" s="580">
        <v>50</v>
      </c>
      <c r="D14" s="581">
        <v>54.190494511000111</v>
      </c>
      <c r="E14" s="580">
        <v>69.715107347109821</v>
      </c>
      <c r="F14" s="580">
        <v>25.797193868287021</v>
      </c>
      <c r="G14" s="580">
        <v>55.947175869780388</v>
      </c>
      <c r="H14" s="580">
        <v>81.974589847053025</v>
      </c>
      <c r="I14" s="580">
        <v>57.413963321402392</v>
      </c>
      <c r="J14" s="580">
        <v>57.756889787080297</v>
      </c>
      <c r="K14" s="580">
        <v>53.428899104444412</v>
      </c>
      <c r="L14" s="581">
        <v>52.094436875327169</v>
      </c>
    </row>
    <row r="15" spans="1:12" ht="14">
      <c r="A15" s="239"/>
      <c r="B15" s="573" t="s">
        <v>115</v>
      </c>
      <c r="C15" s="580">
        <v>50</v>
      </c>
      <c r="D15" s="581">
        <v>49.132310539565168</v>
      </c>
      <c r="E15" s="580">
        <v>72.619149653314309</v>
      </c>
      <c r="F15" s="580">
        <v>35.67864021634211</v>
      </c>
      <c r="G15" s="580">
        <v>51.549004252945061</v>
      </c>
      <c r="H15" s="580">
        <v>79.796141776775542</v>
      </c>
      <c r="I15" s="580">
        <v>57.099670390004533</v>
      </c>
      <c r="J15" s="580">
        <v>58.704605653889622</v>
      </c>
      <c r="K15" s="580">
        <v>51.433849116551812</v>
      </c>
      <c r="L15" s="581">
        <v>55.471197575373168</v>
      </c>
    </row>
    <row r="16" spans="1:12" ht="14">
      <c r="A16" s="240"/>
      <c r="B16" s="574" t="s">
        <v>116</v>
      </c>
      <c r="C16" s="582">
        <v>50</v>
      </c>
      <c r="D16" s="583">
        <v>54.83667889475872</v>
      </c>
      <c r="E16" s="582">
        <v>77.297698233968248</v>
      </c>
      <c r="F16" s="582">
        <v>49.701295434080151</v>
      </c>
      <c r="G16" s="582">
        <v>55.603799023254453</v>
      </c>
      <c r="H16" s="582">
        <v>79.854361922127424</v>
      </c>
      <c r="I16" s="582">
        <v>61.007623267426069</v>
      </c>
      <c r="J16" s="582">
        <v>65.450463848431042</v>
      </c>
      <c r="K16" s="582">
        <v>59.650938765097067</v>
      </c>
      <c r="L16" s="583">
        <v>38.897619879872437</v>
      </c>
    </row>
    <row r="17" spans="1:12" ht="14">
      <c r="A17" s="238">
        <v>2021</v>
      </c>
      <c r="B17" s="572" t="s">
        <v>105</v>
      </c>
      <c r="C17" s="578">
        <v>50</v>
      </c>
      <c r="D17" s="579">
        <v>59.561181205090762</v>
      </c>
      <c r="E17" s="578">
        <v>72.091021443022399</v>
      </c>
      <c r="F17" s="578">
        <v>54.540495426736342</v>
      </c>
      <c r="G17" s="578">
        <v>30.084318107201351</v>
      </c>
      <c r="H17" s="578">
        <v>64.50304981815863</v>
      </c>
      <c r="I17" s="578">
        <v>62.099253378169102</v>
      </c>
      <c r="J17" s="578">
        <v>62.260950560403607</v>
      </c>
      <c r="K17" s="578">
        <v>38.903773538838102</v>
      </c>
      <c r="L17" s="579">
        <v>55.003613019074727</v>
      </c>
    </row>
    <row r="18" spans="1:12" ht="14">
      <c r="A18" s="239"/>
      <c r="B18" s="573" t="s">
        <v>106</v>
      </c>
      <c r="C18" s="580">
        <v>50</v>
      </c>
      <c r="D18" s="581">
        <v>78.939811035480631</v>
      </c>
      <c r="E18" s="580">
        <v>83.919141520041464</v>
      </c>
      <c r="F18" s="580">
        <v>53.297307700766297</v>
      </c>
      <c r="G18" s="580">
        <v>78.751996737489648</v>
      </c>
      <c r="H18" s="580">
        <v>53.9749134913326</v>
      </c>
      <c r="I18" s="580">
        <v>53.948828638797913</v>
      </c>
      <c r="J18" s="580">
        <v>81.883175987404499</v>
      </c>
      <c r="K18" s="580">
        <v>55.608868476916932</v>
      </c>
      <c r="L18" s="581">
        <v>55.50530894186312</v>
      </c>
    </row>
    <row r="19" spans="1:12" ht="14">
      <c r="A19" s="239"/>
      <c r="B19" s="573" t="s">
        <v>107</v>
      </c>
      <c r="C19" s="580">
        <v>50</v>
      </c>
      <c r="D19" s="581">
        <v>77.206782716578275</v>
      </c>
      <c r="E19" s="580">
        <v>76.961181681379159</v>
      </c>
      <c r="F19" s="580">
        <v>47.903645464779949</v>
      </c>
      <c r="G19" s="580">
        <v>68.891429371351435</v>
      </c>
      <c r="H19" s="580">
        <v>80.232020789389253</v>
      </c>
      <c r="I19" s="580">
        <v>58.254882310929879</v>
      </c>
      <c r="J19" s="580">
        <v>60.062815402523427</v>
      </c>
      <c r="K19" s="580">
        <v>53.187589993926373</v>
      </c>
      <c r="L19" s="581">
        <v>61.330309625082393</v>
      </c>
    </row>
    <row r="20" spans="1:12" ht="14">
      <c r="A20" s="239"/>
      <c r="B20" s="573" t="s">
        <v>108</v>
      </c>
      <c r="C20" s="580">
        <v>50</v>
      </c>
      <c r="D20" s="581">
        <v>71.746125309949718</v>
      </c>
      <c r="E20" s="580">
        <v>67.527949928310008</v>
      </c>
      <c r="F20" s="580">
        <v>49.388007735949657</v>
      </c>
      <c r="G20" s="580">
        <v>74.275115628054593</v>
      </c>
      <c r="H20" s="580">
        <v>60.099187040547697</v>
      </c>
      <c r="I20" s="580">
        <v>56.75517025581015</v>
      </c>
      <c r="J20" s="580">
        <v>58.29279477441942</v>
      </c>
      <c r="K20" s="580">
        <v>59.971518777412108</v>
      </c>
      <c r="L20" s="581">
        <v>51.044811880092709</v>
      </c>
    </row>
    <row r="21" spans="1:12" ht="14">
      <c r="A21" s="239"/>
      <c r="B21" s="573" t="s">
        <v>109</v>
      </c>
      <c r="C21" s="580">
        <v>50</v>
      </c>
      <c r="D21" s="581">
        <v>49.55034322745648</v>
      </c>
      <c r="E21" s="580">
        <v>77.632840493621316</v>
      </c>
      <c r="F21" s="580">
        <v>57.044487582489452</v>
      </c>
      <c r="G21" s="580">
        <v>70.028343360798971</v>
      </c>
      <c r="H21" s="580">
        <v>66.568840393573709</v>
      </c>
      <c r="I21" s="580">
        <v>55.930619008373263</v>
      </c>
      <c r="J21" s="580">
        <v>56.248632899703551</v>
      </c>
      <c r="K21" s="580">
        <v>51.801704350429638</v>
      </c>
      <c r="L21" s="581">
        <v>60.863488329052217</v>
      </c>
    </row>
    <row r="22" spans="1:12" ht="14">
      <c r="A22" s="239"/>
      <c r="B22" s="573" t="s">
        <v>110</v>
      </c>
      <c r="C22" s="580">
        <v>50</v>
      </c>
      <c r="D22" s="581">
        <v>56.295952548430023</v>
      </c>
      <c r="E22" s="580">
        <v>50.174350680465459</v>
      </c>
      <c r="F22" s="580">
        <v>50.84855380962501</v>
      </c>
      <c r="G22" s="580">
        <v>52.712211887630609</v>
      </c>
      <c r="H22" s="580">
        <v>61.265330997617617</v>
      </c>
      <c r="I22" s="580">
        <v>59.152276205744393</v>
      </c>
      <c r="J22" s="580">
        <v>58.318215552789887</v>
      </c>
      <c r="K22" s="580">
        <v>53.656890398750967</v>
      </c>
      <c r="L22" s="581">
        <v>59.408666778298823</v>
      </c>
    </row>
    <row r="23" spans="1:12" ht="14">
      <c r="A23" s="239"/>
      <c r="B23" s="573" t="s">
        <v>117</v>
      </c>
      <c r="C23" s="580">
        <v>50</v>
      </c>
      <c r="D23" s="581">
        <v>51.075012098323398</v>
      </c>
      <c r="E23" s="580">
        <v>48.598102240089169</v>
      </c>
      <c r="F23" s="580">
        <v>60.11665842567043</v>
      </c>
      <c r="G23" s="580">
        <v>55.063412187197819</v>
      </c>
      <c r="H23" s="580">
        <v>82.945345070250909</v>
      </c>
      <c r="I23" s="580">
        <v>55.633054373104819</v>
      </c>
      <c r="J23" s="580">
        <v>55.443811707800691</v>
      </c>
      <c r="K23" s="580">
        <v>60.726627440540597</v>
      </c>
      <c r="L23" s="581">
        <v>54.379393934189537</v>
      </c>
    </row>
    <row r="24" spans="1:12" ht="14">
      <c r="A24" s="239"/>
      <c r="B24" s="573" t="s">
        <v>112</v>
      </c>
      <c r="C24" s="580">
        <v>50</v>
      </c>
      <c r="D24" s="581">
        <v>63.485006460797813</v>
      </c>
      <c r="E24" s="580">
        <v>36.183466306257849</v>
      </c>
      <c r="F24" s="580">
        <v>40.227304961577758</v>
      </c>
      <c r="G24" s="580">
        <v>62.308218983460563</v>
      </c>
      <c r="H24" s="580">
        <v>76.715743163533787</v>
      </c>
      <c r="I24" s="580">
        <v>58.662956582003041</v>
      </c>
      <c r="J24" s="580">
        <v>57.523633828494091</v>
      </c>
      <c r="K24" s="580">
        <v>67.110069991021106</v>
      </c>
      <c r="L24" s="581">
        <v>53.18672390147421</v>
      </c>
    </row>
    <row r="25" spans="1:12" ht="14">
      <c r="A25" s="239"/>
      <c r="B25" s="573" t="s">
        <v>113</v>
      </c>
      <c r="C25" s="580">
        <v>50</v>
      </c>
      <c r="D25" s="581">
        <v>12.752603507854399</v>
      </c>
      <c r="E25" s="580">
        <v>55.211359205282832</v>
      </c>
      <c r="F25" s="580">
        <v>27.182666181862061</v>
      </c>
      <c r="G25" s="580">
        <v>58.539099747444013</v>
      </c>
      <c r="H25" s="580">
        <v>74.246531152622552</v>
      </c>
      <c r="I25" s="580">
        <v>60.555185612085268</v>
      </c>
      <c r="J25" s="580">
        <v>62.169114729071687</v>
      </c>
      <c r="K25" s="580">
        <v>75.842280907521001</v>
      </c>
      <c r="L25" s="581">
        <v>51.930633475117887</v>
      </c>
    </row>
    <row r="26" spans="1:12" ht="14">
      <c r="A26" s="239"/>
      <c r="B26" s="573" t="s">
        <v>114</v>
      </c>
      <c r="C26" s="580">
        <v>50</v>
      </c>
      <c r="D26" s="581">
        <v>67.278055798059086</v>
      </c>
      <c r="E26" s="580">
        <v>25.779267297370371</v>
      </c>
      <c r="F26" s="580">
        <v>38.755406139819392</v>
      </c>
      <c r="G26" s="580">
        <v>57.554617375865988</v>
      </c>
      <c r="H26" s="580">
        <v>70.613929886333409</v>
      </c>
      <c r="I26" s="580">
        <v>51.545838591507817</v>
      </c>
      <c r="J26" s="580">
        <v>56.501133127800429</v>
      </c>
      <c r="K26" s="580">
        <v>72.540932224808216</v>
      </c>
      <c r="L26" s="581">
        <v>52.224828844798402</v>
      </c>
    </row>
    <row r="27" spans="1:12" ht="14">
      <c r="A27" s="239"/>
      <c r="B27" s="573" t="s">
        <v>115</v>
      </c>
      <c r="C27" s="580">
        <v>50</v>
      </c>
      <c r="D27" s="580">
        <v>53.656983441435841</v>
      </c>
      <c r="E27" s="580">
        <v>81.734109819430799</v>
      </c>
      <c r="F27" s="580">
        <v>47.06872755419495</v>
      </c>
      <c r="G27" s="580">
        <v>51.174189390488067</v>
      </c>
      <c r="H27" s="580">
        <v>78.208337988860961</v>
      </c>
      <c r="I27" s="580">
        <v>51.199136986267533</v>
      </c>
      <c r="J27" s="580">
        <v>72.67612454296183</v>
      </c>
      <c r="K27" s="580">
        <v>63.197650200043753</v>
      </c>
      <c r="L27" s="581">
        <v>68.518309140314159</v>
      </c>
    </row>
    <row r="28" spans="1:12" ht="14">
      <c r="A28" s="240"/>
      <c r="B28" s="574" t="s">
        <v>116</v>
      </c>
      <c r="C28" s="582">
        <v>50</v>
      </c>
      <c r="D28" s="583">
        <v>64.089937008435854</v>
      </c>
      <c r="E28" s="582">
        <v>69.351027315415763</v>
      </c>
      <c r="F28" s="582">
        <v>49.045657673158161</v>
      </c>
      <c r="G28" s="582">
        <v>66.912446462225319</v>
      </c>
      <c r="H28" s="582">
        <v>79.32500047213486</v>
      </c>
      <c r="I28" s="582">
        <v>73.852393405889956</v>
      </c>
      <c r="J28" s="582">
        <v>52.666428040964327</v>
      </c>
      <c r="K28" s="582">
        <v>68.412565970115537</v>
      </c>
      <c r="L28" s="582">
        <v>59.273015542204128</v>
      </c>
    </row>
    <row r="29" spans="1:12" ht="14">
      <c r="A29" s="238">
        <v>2022</v>
      </c>
      <c r="B29" s="575" t="s">
        <v>105</v>
      </c>
      <c r="C29" s="578">
        <v>50</v>
      </c>
      <c r="D29" s="578">
        <v>67.825515161978771</v>
      </c>
      <c r="E29" s="578">
        <v>69.67410327902968</v>
      </c>
      <c r="F29" s="578">
        <v>46.170123620770468</v>
      </c>
      <c r="G29" s="578">
        <v>75.225893278000029</v>
      </c>
      <c r="H29" s="578">
        <v>67.464760149420087</v>
      </c>
      <c r="I29" s="578">
        <v>56.341908844470403</v>
      </c>
      <c r="J29" s="578">
        <v>57.343852448005229</v>
      </c>
      <c r="K29" s="578">
        <v>48.016724808582048</v>
      </c>
      <c r="L29" s="578">
        <v>61.588919683409038</v>
      </c>
    </row>
    <row r="30" spans="1:12" ht="14">
      <c r="A30" s="239"/>
      <c r="B30" s="576" t="s">
        <v>106</v>
      </c>
      <c r="C30" s="580">
        <v>50</v>
      </c>
      <c r="D30" s="580">
        <v>55.221705598775443</v>
      </c>
      <c r="E30" s="580">
        <v>63.766560553269777</v>
      </c>
      <c r="F30" s="580">
        <v>43.972168282785248</v>
      </c>
      <c r="G30" s="580">
        <v>72.989914315235509</v>
      </c>
      <c r="H30" s="580">
        <v>85.506927813209273</v>
      </c>
      <c r="I30" s="580">
        <v>55.675308880669618</v>
      </c>
      <c r="J30" s="580">
        <v>58.999959950969462</v>
      </c>
      <c r="K30" s="580">
        <v>66.663687382489101</v>
      </c>
      <c r="L30" s="580">
        <v>63.250496716462109</v>
      </c>
    </row>
    <row r="31" spans="1:12" ht="14">
      <c r="A31" s="239"/>
      <c r="B31" s="576" t="s">
        <v>107</v>
      </c>
      <c r="C31" s="580">
        <v>50</v>
      </c>
      <c r="D31" s="580">
        <v>63.648676565623013</v>
      </c>
      <c r="E31" s="580">
        <v>80.719519009061031</v>
      </c>
      <c r="F31" s="580">
        <v>56.625264091249562</v>
      </c>
      <c r="G31" s="580">
        <v>77.872205024962</v>
      </c>
      <c r="H31" s="580">
        <v>54.72329877260735</v>
      </c>
      <c r="I31" s="580">
        <v>57.602450119779178</v>
      </c>
      <c r="J31" s="580">
        <v>58.871165013673213</v>
      </c>
      <c r="K31" s="580">
        <v>59.936179311950013</v>
      </c>
      <c r="L31" s="580">
        <v>59.352389207283018</v>
      </c>
    </row>
    <row r="32" spans="1:12" ht="14">
      <c r="A32" s="239"/>
      <c r="B32" s="576" t="s">
        <v>108</v>
      </c>
      <c r="C32" s="580">
        <v>50</v>
      </c>
      <c r="D32" s="580">
        <v>53.559716730120577</v>
      </c>
      <c r="E32" s="580">
        <v>74.398200841888681</v>
      </c>
      <c r="F32" s="580">
        <v>57.268181493116352</v>
      </c>
      <c r="G32" s="580">
        <v>74.500336523302664</v>
      </c>
      <c r="H32" s="580">
        <v>57.86527245981776</v>
      </c>
      <c r="I32" s="580">
        <v>57.580544053282168</v>
      </c>
      <c r="J32" s="580">
        <v>58.124173195472608</v>
      </c>
      <c r="K32" s="580">
        <v>56.241464106033902</v>
      </c>
      <c r="L32" s="580">
        <v>50.548293509751097</v>
      </c>
    </row>
    <row r="33" spans="1:12" ht="14">
      <c r="A33" s="239"/>
      <c r="B33" s="576" t="s">
        <v>109</v>
      </c>
      <c r="C33" s="580">
        <v>50</v>
      </c>
      <c r="D33" s="580">
        <v>51.254636104825018</v>
      </c>
      <c r="E33" s="580">
        <v>71.590542645481136</v>
      </c>
      <c r="F33" s="580">
        <v>77.512692353795018</v>
      </c>
      <c r="G33" s="580">
        <v>74.904696362419344</v>
      </c>
      <c r="H33" s="580">
        <v>70.157190329413581</v>
      </c>
      <c r="I33" s="580">
        <v>56.197473700675651</v>
      </c>
      <c r="J33" s="580">
        <v>59.071260124487893</v>
      </c>
      <c r="K33" s="580">
        <v>46.962842458629623</v>
      </c>
      <c r="L33" s="580">
        <v>60.97957224596388</v>
      </c>
    </row>
    <row r="34" spans="1:12" ht="14">
      <c r="A34" s="239"/>
      <c r="B34" s="576" t="s">
        <v>110</v>
      </c>
      <c r="C34" s="580">
        <v>50</v>
      </c>
      <c r="D34" s="580">
        <v>66.504813328204307</v>
      </c>
      <c r="E34" s="580">
        <v>54.542087127584708</v>
      </c>
      <c r="F34" s="580">
        <v>71.31094223595629</v>
      </c>
      <c r="G34" s="580">
        <v>49.739398203310323</v>
      </c>
      <c r="H34" s="580">
        <v>81.387632599035896</v>
      </c>
      <c r="I34" s="580">
        <v>57.85350265219197</v>
      </c>
      <c r="J34" s="580">
        <v>59.332636040896929</v>
      </c>
      <c r="K34" s="580">
        <v>69.017751171701462</v>
      </c>
      <c r="L34" s="580">
        <v>64.157325138461971</v>
      </c>
    </row>
    <row r="35" spans="1:12" ht="14">
      <c r="A35" s="239"/>
      <c r="B35" s="576" t="s">
        <v>117</v>
      </c>
      <c r="C35" s="580">
        <v>50</v>
      </c>
      <c r="D35" s="580">
        <v>72.307260065602463</v>
      </c>
      <c r="E35" s="581">
        <v>66.473853405460119</v>
      </c>
      <c r="F35" s="580">
        <v>74.434871295423264</v>
      </c>
      <c r="G35" s="580">
        <v>51.671262461816873</v>
      </c>
      <c r="H35" s="580">
        <v>63.255124122238477</v>
      </c>
      <c r="I35" s="580">
        <v>58.806712314515963</v>
      </c>
      <c r="J35" s="580">
        <v>59.295901434092521</v>
      </c>
      <c r="K35" s="580">
        <v>66.589679858941736</v>
      </c>
      <c r="L35" s="580">
        <v>53.73925073576774</v>
      </c>
    </row>
    <row r="36" spans="1:12" ht="14">
      <c r="A36" s="239"/>
      <c r="B36" s="576" t="s">
        <v>112</v>
      </c>
      <c r="C36" s="580">
        <v>50</v>
      </c>
      <c r="D36" s="580">
        <v>52.138704599231303</v>
      </c>
      <c r="E36" s="580">
        <v>77.53933471472169</v>
      </c>
      <c r="F36" s="580">
        <v>51.69959582008422</v>
      </c>
      <c r="G36" s="580">
        <v>56.333594267094639</v>
      </c>
      <c r="H36" s="580">
        <v>84.072172709509374</v>
      </c>
      <c r="I36" s="580">
        <v>60.003531575706269</v>
      </c>
      <c r="J36" s="580">
        <v>58.806713276891138</v>
      </c>
      <c r="K36" s="580">
        <v>59.288687502236911</v>
      </c>
      <c r="L36" s="580">
        <v>53.791913794620953</v>
      </c>
    </row>
    <row r="37" spans="1:12" ht="14">
      <c r="A37" s="239"/>
      <c r="B37" s="576" t="s">
        <v>113</v>
      </c>
      <c r="C37" s="580">
        <v>50</v>
      </c>
      <c r="D37" s="580">
        <v>42.121868583421609</v>
      </c>
      <c r="E37" s="580">
        <v>77.505686350831269</v>
      </c>
      <c r="F37" s="580">
        <v>54.604102111057102</v>
      </c>
      <c r="G37" s="580">
        <v>71.430877168818782</v>
      </c>
      <c r="H37" s="580">
        <v>72.326247046557796</v>
      </c>
      <c r="I37" s="580">
        <v>51.758336612529497</v>
      </c>
      <c r="J37" s="580">
        <v>52.497698749752907</v>
      </c>
      <c r="K37" s="580">
        <v>65.09314798797466</v>
      </c>
      <c r="L37" s="580">
        <v>80.75600506686024</v>
      </c>
    </row>
    <row r="38" spans="1:12" ht="14">
      <c r="A38" s="239"/>
      <c r="B38" s="576" t="s">
        <v>114</v>
      </c>
      <c r="C38" s="580">
        <v>50</v>
      </c>
      <c r="D38" s="580">
        <v>26.60002293762669</v>
      </c>
      <c r="E38" s="580">
        <v>69.536063091405524</v>
      </c>
      <c r="F38" s="580">
        <v>48.013771878870877</v>
      </c>
      <c r="G38" s="580">
        <v>68.126168170715189</v>
      </c>
      <c r="H38" s="580">
        <v>69.768328419853759</v>
      </c>
      <c r="I38" s="580">
        <v>70.051772078894274</v>
      </c>
      <c r="J38" s="580">
        <v>73.259024664719945</v>
      </c>
      <c r="K38" s="580">
        <v>46.816975668098557</v>
      </c>
      <c r="L38" s="580">
        <v>71.729471083145668</v>
      </c>
    </row>
    <row r="39" spans="1:12" ht="14">
      <c r="A39" s="239"/>
      <c r="B39" s="576" t="s">
        <v>115</v>
      </c>
      <c r="C39" s="580">
        <v>50</v>
      </c>
      <c r="D39" s="580">
        <v>60.285085500453448</v>
      </c>
      <c r="E39" s="580">
        <v>60.15668697117858</v>
      </c>
      <c r="F39" s="580">
        <v>54.675777677793782</v>
      </c>
      <c r="G39" s="580">
        <v>55.187243985387447</v>
      </c>
      <c r="H39" s="580">
        <v>58.102642118595689</v>
      </c>
      <c r="I39" s="580">
        <v>71.649234205318592</v>
      </c>
      <c r="J39" s="580">
        <v>72.291294402136984</v>
      </c>
      <c r="K39" s="580">
        <v>58.8799943466191</v>
      </c>
      <c r="L39" s="580">
        <v>60.858439778482207</v>
      </c>
    </row>
    <row r="40" spans="1:12" ht="14">
      <c r="A40" s="240"/>
      <c r="B40" s="577" t="s">
        <v>116</v>
      </c>
      <c r="C40" s="582">
        <v>50</v>
      </c>
      <c r="D40" s="582">
        <v>52.24592520031036</v>
      </c>
      <c r="E40" s="582">
        <v>56.366544091850002</v>
      </c>
      <c r="F40" s="582">
        <v>50.639811943135328</v>
      </c>
      <c r="G40" s="582">
        <v>50.442337768518662</v>
      </c>
      <c r="H40" s="582">
        <v>79.380302156580314</v>
      </c>
      <c r="I40" s="582">
        <v>48.692443253440821</v>
      </c>
      <c r="J40" s="582">
        <v>67.978757672797769</v>
      </c>
      <c r="K40" s="582">
        <v>66.403591329761838</v>
      </c>
      <c r="L40" s="582">
        <v>52.496316012703709</v>
      </c>
    </row>
    <row r="41" spans="1:12" ht="14">
      <c r="A41" s="239">
        <v>2023</v>
      </c>
      <c r="B41" s="576" t="s">
        <v>105</v>
      </c>
      <c r="C41" s="580">
        <v>50</v>
      </c>
      <c r="D41" s="580">
        <v>48.644172019808373</v>
      </c>
      <c r="E41" s="580">
        <v>76.684313353487653</v>
      </c>
      <c r="F41" s="580">
        <v>48.44100971509355</v>
      </c>
      <c r="G41" s="580">
        <v>51.515083007154693</v>
      </c>
      <c r="H41" s="580">
        <v>84.823044402977089</v>
      </c>
      <c r="I41" s="580">
        <v>62.026506515728663</v>
      </c>
      <c r="J41" s="580">
        <v>67.023054121901836</v>
      </c>
      <c r="K41" s="580">
        <v>43.474869874953278</v>
      </c>
      <c r="L41" s="580">
        <v>50.855580257248143</v>
      </c>
    </row>
    <row r="42" spans="1:12" ht="14">
      <c r="A42" s="239"/>
      <c r="B42" s="576" t="s">
        <v>106</v>
      </c>
      <c r="C42" s="580">
        <v>50</v>
      </c>
      <c r="D42" s="580">
        <v>65.655738784332371</v>
      </c>
      <c r="E42" s="580">
        <v>35.559164935610973</v>
      </c>
      <c r="F42" s="580">
        <v>45.031929830356447</v>
      </c>
      <c r="G42" s="580">
        <v>80.190863017243657</v>
      </c>
      <c r="H42" s="580">
        <v>84.571989705419966</v>
      </c>
      <c r="I42" s="580">
        <v>71.435977743471113</v>
      </c>
      <c r="J42" s="580">
        <v>74.002264765441836</v>
      </c>
      <c r="K42" s="580">
        <v>37.91393697025353</v>
      </c>
      <c r="L42" s="580">
        <v>34.82331470021812</v>
      </c>
    </row>
    <row r="43" spans="1:12" ht="14">
      <c r="A43" s="239"/>
      <c r="B43" s="576" t="s">
        <v>107</v>
      </c>
      <c r="C43" s="580">
        <v>50</v>
      </c>
      <c r="D43" s="580">
        <v>40.753329956374721</v>
      </c>
      <c r="E43" s="580">
        <v>40.910429572190758</v>
      </c>
      <c r="F43" s="580">
        <v>64.636389260890709</v>
      </c>
      <c r="G43" s="580">
        <v>54.713454302476258</v>
      </c>
      <c r="H43" s="580">
        <v>66.697358130416873</v>
      </c>
      <c r="I43" s="580">
        <v>62.679679632287048</v>
      </c>
      <c r="J43" s="580">
        <v>67.705699170326398</v>
      </c>
      <c r="K43" s="580">
        <v>44.253687809972043</v>
      </c>
      <c r="L43" s="580">
        <v>54.864273846826102</v>
      </c>
    </row>
    <row r="44" spans="1:12" ht="14">
      <c r="A44" s="239"/>
      <c r="B44" s="573" t="s">
        <v>108</v>
      </c>
      <c r="C44" s="581">
        <v>50</v>
      </c>
      <c r="D44" s="580">
        <v>39.513703791099637</v>
      </c>
      <c r="E44" s="580">
        <v>62.502376465890663</v>
      </c>
      <c r="F44" s="580">
        <v>50.919761238779593</v>
      </c>
      <c r="G44" s="580">
        <v>54.132968979469993</v>
      </c>
      <c r="H44" s="580">
        <v>62.077606388816513</v>
      </c>
      <c r="I44" s="580">
        <v>59.775983640327418</v>
      </c>
      <c r="J44" s="580">
        <v>57.050424392855597</v>
      </c>
      <c r="K44" s="580">
        <v>61.939428105788203</v>
      </c>
      <c r="L44" s="581">
        <v>82.476845092870718</v>
      </c>
    </row>
    <row r="45" spans="1:12" ht="14">
      <c r="A45" s="239"/>
      <c r="B45" s="576" t="s">
        <v>109</v>
      </c>
      <c r="C45" s="580">
        <v>50</v>
      </c>
      <c r="D45" s="580">
        <v>61.560596606277329</v>
      </c>
      <c r="E45" s="580">
        <v>62.207760013611477</v>
      </c>
      <c r="F45" s="580">
        <v>54.24284391743408</v>
      </c>
      <c r="G45" s="580">
        <v>63.363133982561394</v>
      </c>
      <c r="H45" s="580">
        <v>78.682957017071743</v>
      </c>
      <c r="I45" s="580">
        <v>69.597182110293303</v>
      </c>
      <c r="J45" s="580">
        <v>53.526545628438811</v>
      </c>
      <c r="K45" s="580">
        <v>67.328607595341438</v>
      </c>
      <c r="L45" s="580">
        <v>64.816953592932876</v>
      </c>
    </row>
    <row r="46" spans="1:12" ht="14">
      <c r="A46" s="239"/>
      <c r="B46" s="576" t="s">
        <v>110</v>
      </c>
      <c r="C46" s="580">
        <v>50</v>
      </c>
      <c r="D46" s="580">
        <v>42.466315023210583</v>
      </c>
      <c r="E46" s="580">
        <v>74.462219900816834</v>
      </c>
      <c r="F46" s="580">
        <v>58.405751230879282</v>
      </c>
      <c r="G46" s="580">
        <v>53.918439920759347</v>
      </c>
      <c r="H46" s="580">
        <v>63.472915045586277</v>
      </c>
      <c r="I46" s="580">
        <v>77.755528000206425</v>
      </c>
      <c r="J46" s="580">
        <v>74.31368855934916</v>
      </c>
      <c r="K46" s="580">
        <v>41.470025511958411</v>
      </c>
      <c r="L46" s="580">
        <v>37.59571930399445</v>
      </c>
    </row>
    <row r="47" spans="1:12" ht="14">
      <c r="A47" s="239"/>
      <c r="B47" s="576" t="s">
        <v>117</v>
      </c>
      <c r="C47" s="580">
        <v>50</v>
      </c>
      <c r="D47" s="580">
        <v>78.261184845592979</v>
      </c>
      <c r="E47" s="580">
        <v>84.056814283361945</v>
      </c>
      <c r="F47" s="580">
        <v>78.840340340410549</v>
      </c>
      <c r="G47" s="580">
        <v>77.544061768653734</v>
      </c>
      <c r="H47" s="580">
        <v>77.341047415877085</v>
      </c>
      <c r="I47" s="580">
        <v>78.060194242390764</v>
      </c>
      <c r="J47" s="580">
        <v>78.225916307750708</v>
      </c>
      <c r="K47" s="580">
        <v>86.648908930864337</v>
      </c>
      <c r="L47" s="580">
        <v>80.771966791781111</v>
      </c>
    </row>
    <row r="48" spans="1:12" ht="14">
      <c r="A48" s="239"/>
      <c r="B48" s="576" t="s">
        <v>112</v>
      </c>
      <c r="C48" s="580">
        <v>50</v>
      </c>
      <c r="D48" s="580">
        <v>78.206391796938973</v>
      </c>
      <c r="E48" s="580">
        <v>55.284081092035223</v>
      </c>
      <c r="F48" s="580">
        <v>52.857485589695912</v>
      </c>
      <c r="G48" s="580">
        <v>53.246666027878042</v>
      </c>
      <c r="H48" s="580">
        <v>72.789818777893487</v>
      </c>
      <c r="I48" s="580">
        <v>61.302414624397407</v>
      </c>
      <c r="J48" s="580">
        <v>62.610143758838767</v>
      </c>
      <c r="K48" s="580">
        <v>82.153180087279338</v>
      </c>
      <c r="L48" s="580">
        <v>63.271815645449919</v>
      </c>
    </row>
    <row r="49" spans="1:12" ht="14">
      <c r="A49" s="239"/>
      <c r="B49" s="576" t="s">
        <v>113</v>
      </c>
      <c r="C49" s="580">
        <v>50</v>
      </c>
      <c r="D49" s="580">
        <v>54.202950203582617</v>
      </c>
      <c r="E49" s="580">
        <v>49.916332685902191</v>
      </c>
      <c r="F49" s="580">
        <v>52.832699052872442</v>
      </c>
      <c r="G49" s="580">
        <v>51.521317939547536</v>
      </c>
      <c r="H49" s="580">
        <v>54.590641064341888</v>
      </c>
      <c r="I49" s="580">
        <v>60.847818075702811</v>
      </c>
      <c r="J49" s="580">
        <v>53.163979069023561</v>
      </c>
      <c r="K49" s="580">
        <v>60.923757963827789</v>
      </c>
      <c r="L49" s="580">
        <v>51.550904748200637</v>
      </c>
    </row>
    <row r="50" spans="1:12" ht="14">
      <c r="A50" s="239"/>
      <c r="B50" s="576" t="s">
        <v>114</v>
      </c>
      <c r="C50" s="580">
        <v>50</v>
      </c>
      <c r="D50" s="580">
        <v>37.690604682912209</v>
      </c>
      <c r="E50" s="580">
        <v>55.801685156654322</v>
      </c>
      <c r="F50" s="580">
        <v>56.087907708362323</v>
      </c>
      <c r="G50" s="580">
        <v>57.04830678426454</v>
      </c>
      <c r="H50" s="580">
        <v>54.207147016870287</v>
      </c>
      <c r="I50" s="580">
        <v>51.692430743729197</v>
      </c>
      <c r="J50" s="580">
        <v>52.746410109308599</v>
      </c>
      <c r="K50" s="580">
        <v>83.229116071706329</v>
      </c>
      <c r="L50" s="580">
        <v>76.998819178811786</v>
      </c>
    </row>
    <row r="51" spans="1:12" ht="14">
      <c r="A51" s="239"/>
      <c r="B51" s="576" t="s">
        <v>115</v>
      </c>
      <c r="C51" s="580">
        <v>50</v>
      </c>
      <c r="D51" s="580">
        <v>53.785035099404311</v>
      </c>
      <c r="E51" s="580">
        <v>49.671737268138479</v>
      </c>
      <c r="F51" s="580">
        <v>52.707426192336641</v>
      </c>
      <c r="G51" s="580">
        <v>54.497938061300353</v>
      </c>
      <c r="H51" s="580">
        <v>58.066129246690139</v>
      </c>
      <c r="I51" s="580">
        <v>56.51869697010207</v>
      </c>
      <c r="J51" s="580">
        <v>57.879669578181613</v>
      </c>
      <c r="K51" s="580">
        <v>52.27575453296808</v>
      </c>
      <c r="L51" s="580">
        <v>52.075521928510128</v>
      </c>
    </row>
    <row r="52" spans="1:12" ht="14">
      <c r="A52" s="240"/>
      <c r="B52" s="577" t="s">
        <v>116</v>
      </c>
      <c r="C52" s="582">
        <v>50</v>
      </c>
      <c r="D52" s="582">
        <v>24.479598714943851</v>
      </c>
      <c r="E52" s="582">
        <v>62.43076976435222</v>
      </c>
      <c r="F52" s="582">
        <v>49.002698947176953</v>
      </c>
      <c r="G52" s="582">
        <v>53.716103557249589</v>
      </c>
      <c r="H52" s="582">
        <v>54.71674155716503</v>
      </c>
      <c r="I52" s="582">
        <v>56.292909133150332</v>
      </c>
      <c r="J52" s="582">
        <v>60.729661542675458</v>
      </c>
      <c r="K52" s="582">
        <v>52.24057326200321</v>
      </c>
      <c r="L52" s="582">
        <v>57.068352835518432</v>
      </c>
    </row>
    <row r="53" spans="1:12" ht="14">
      <c r="A53" s="238">
        <v>2024</v>
      </c>
      <c r="B53" s="575" t="s">
        <v>105</v>
      </c>
      <c r="C53" s="578">
        <v>50</v>
      </c>
      <c r="D53" s="578">
        <v>58.971672196352863</v>
      </c>
      <c r="E53" s="578">
        <v>49.23682304930901</v>
      </c>
      <c r="F53" s="578">
        <v>52.016032084900552</v>
      </c>
      <c r="G53" s="578">
        <v>54.276339849555377</v>
      </c>
      <c r="H53" s="578">
        <v>59.50189180392023</v>
      </c>
      <c r="I53" s="578">
        <v>64.496210214646311</v>
      </c>
      <c r="J53" s="578">
        <v>62.791001424573437</v>
      </c>
      <c r="K53" s="578">
        <v>60.600016241334409</v>
      </c>
      <c r="L53" s="578">
        <v>77.922316985525015</v>
      </c>
    </row>
    <row r="54" spans="1:12" ht="14">
      <c r="A54" s="239"/>
      <c r="B54" s="576" t="s">
        <v>106</v>
      </c>
      <c r="C54" s="580">
        <v>50</v>
      </c>
      <c r="D54" s="580">
        <v>58.483343247779459</v>
      </c>
      <c r="E54" s="580">
        <v>54.659011595323562</v>
      </c>
      <c r="F54" s="580">
        <v>52.518387019736259</v>
      </c>
      <c r="G54" s="580">
        <v>56.886849914746882</v>
      </c>
      <c r="H54" s="580">
        <v>58.884688220200317</v>
      </c>
      <c r="I54" s="580">
        <v>62.567321778292147</v>
      </c>
      <c r="J54" s="580">
        <v>64.717716358688008</v>
      </c>
      <c r="K54" s="580">
        <v>24.397723921223928</v>
      </c>
      <c r="L54" s="580">
        <v>79.740613081576441</v>
      </c>
    </row>
    <row r="55" spans="1:12" ht="14">
      <c r="A55" s="239"/>
      <c r="B55" s="576" t="s">
        <v>107</v>
      </c>
      <c r="C55" s="580">
        <v>50</v>
      </c>
      <c r="D55" s="580">
        <v>50.889600963780403</v>
      </c>
      <c r="E55" s="580">
        <v>53.801450224514248</v>
      </c>
      <c r="F55" s="580">
        <v>51.936794870908372</v>
      </c>
      <c r="G55" s="580">
        <v>58.979247899485053</v>
      </c>
      <c r="H55" s="580">
        <v>59.334280118503003</v>
      </c>
      <c r="I55" s="580">
        <v>64.781083575278799</v>
      </c>
      <c r="J55" s="580">
        <v>64.192042231615218</v>
      </c>
      <c r="K55" s="580">
        <v>63.705092855054701</v>
      </c>
      <c r="L55" s="580">
        <v>62.163307382791892</v>
      </c>
    </row>
    <row r="56" spans="1:12" ht="14">
      <c r="A56" s="239"/>
      <c r="B56" s="576" t="s">
        <v>108</v>
      </c>
      <c r="C56" s="580">
        <v>50</v>
      </c>
      <c r="D56" s="580">
        <v>41.727102461836211</v>
      </c>
      <c r="E56" s="580">
        <v>54.709222632965499</v>
      </c>
      <c r="F56" s="580">
        <v>54.631295332641443</v>
      </c>
      <c r="G56" s="580">
        <v>59.357114117762897</v>
      </c>
      <c r="H56" s="580">
        <v>58.638125080987358</v>
      </c>
      <c r="I56" s="580">
        <v>57.854860085909188</v>
      </c>
      <c r="J56" s="580">
        <v>62.563731437653971</v>
      </c>
      <c r="K56" s="580">
        <v>65.179805453638494</v>
      </c>
      <c r="L56" s="580">
        <v>60.862294189925663</v>
      </c>
    </row>
    <row r="57" spans="1:12" ht="14">
      <c r="A57" s="239"/>
      <c r="B57" s="576" t="s">
        <v>109</v>
      </c>
      <c r="C57" s="580">
        <v>50</v>
      </c>
      <c r="D57" s="580">
        <v>42.14976095083847</v>
      </c>
      <c r="E57" s="580">
        <v>54.142810280522383</v>
      </c>
      <c r="F57" s="580">
        <v>53.650816351779092</v>
      </c>
      <c r="G57" s="580">
        <v>56.655548610125749</v>
      </c>
      <c r="H57" s="580">
        <v>55.802445853667308</v>
      </c>
      <c r="I57" s="580">
        <v>60.618679027841651</v>
      </c>
      <c r="J57" s="580">
        <v>60.403170062515038</v>
      </c>
      <c r="K57" s="580">
        <v>62.279766115630459</v>
      </c>
      <c r="L57" s="580">
        <v>43.064036381693612</v>
      </c>
    </row>
    <row r="58" spans="1:12" ht="14">
      <c r="A58" s="239"/>
      <c r="B58" s="576" t="s">
        <v>110</v>
      </c>
      <c r="C58" s="580">
        <v>50</v>
      </c>
      <c r="D58" s="580">
        <v>42.174530975865977</v>
      </c>
      <c r="E58" s="580">
        <v>48.797925506805051</v>
      </c>
      <c r="F58" s="580">
        <v>52.498495367150092</v>
      </c>
      <c r="G58" s="580">
        <v>53.124117076253981</v>
      </c>
      <c r="H58" s="580">
        <v>61.136871947649453</v>
      </c>
      <c r="I58" s="580">
        <v>60.998556940411788</v>
      </c>
      <c r="J58" s="580">
        <v>61.140875192442849</v>
      </c>
      <c r="K58" s="580">
        <v>27.161720844075411</v>
      </c>
      <c r="L58" s="580">
        <v>44.130633187372361</v>
      </c>
    </row>
    <row r="59" spans="1:12" ht="14">
      <c r="A59" s="239"/>
      <c r="B59" s="576" t="s">
        <v>117</v>
      </c>
      <c r="C59" s="580">
        <v>50</v>
      </c>
      <c r="D59" s="580">
        <v>50.156911578980072</v>
      </c>
      <c r="E59" s="580">
        <v>77.936513753082224</v>
      </c>
      <c r="F59" s="580">
        <v>50.80948692004732</v>
      </c>
      <c r="G59" s="580">
        <v>55.652438837121913</v>
      </c>
      <c r="H59" s="580">
        <v>56.246177351278313</v>
      </c>
      <c r="I59" s="580">
        <v>63.78019314260878</v>
      </c>
      <c r="J59" s="580">
        <v>63.701801574015661</v>
      </c>
      <c r="K59" s="580">
        <v>48.273848684531011</v>
      </c>
      <c r="L59" s="580">
        <v>81.631587385393331</v>
      </c>
    </row>
    <row r="60" spans="1:12" ht="14">
      <c r="A60" s="239"/>
      <c r="B60" s="576" t="s">
        <v>112</v>
      </c>
      <c r="C60" s="580">
        <v>50</v>
      </c>
      <c r="D60" s="580">
        <v>60.19849944365253</v>
      </c>
      <c r="E60" s="580">
        <v>63.407644324428297</v>
      </c>
      <c r="F60" s="580">
        <v>52.662709345921137</v>
      </c>
      <c r="G60" s="580">
        <v>52.875102638010667</v>
      </c>
      <c r="H60" s="580">
        <v>63.539201841757119</v>
      </c>
      <c r="I60" s="580">
        <v>62.751985888374563</v>
      </c>
      <c r="J60" s="580">
        <v>62.183468628898773</v>
      </c>
      <c r="K60" s="580">
        <v>63.293211187398143</v>
      </c>
      <c r="L60" s="580">
        <v>63.243121648698782</v>
      </c>
    </row>
    <row r="61" spans="1:12" ht="14">
      <c r="A61" s="239"/>
      <c r="B61" s="576" t="s">
        <v>113</v>
      </c>
      <c r="C61" s="580">
        <v>50</v>
      </c>
      <c r="D61" s="580">
        <v>55.876216329584857</v>
      </c>
      <c r="E61" s="580">
        <v>53.746585504384129</v>
      </c>
      <c r="F61" s="580">
        <v>54.808231187160636</v>
      </c>
      <c r="G61" s="580">
        <v>51.763970920319643</v>
      </c>
      <c r="H61" s="580">
        <v>56.330963514523788</v>
      </c>
      <c r="I61" s="580">
        <v>60.142330131433411</v>
      </c>
      <c r="J61" s="580">
        <v>60.249780063119353</v>
      </c>
      <c r="K61" s="580">
        <v>57.513633350797832</v>
      </c>
      <c r="L61" s="580">
        <v>26.983515768962601</v>
      </c>
    </row>
    <row r="62" spans="1:12" ht="14">
      <c r="A62" s="239"/>
      <c r="B62" s="576" t="s">
        <v>114</v>
      </c>
      <c r="C62" s="580">
        <v>50</v>
      </c>
      <c r="D62" s="580">
        <v>61.177940212606913</v>
      </c>
      <c r="E62" s="580">
        <v>53.408916631555357</v>
      </c>
      <c r="F62" s="580">
        <v>50.964299351572663</v>
      </c>
      <c r="G62" s="580">
        <v>50.89056655464335</v>
      </c>
      <c r="H62" s="580">
        <v>54.167602800521372</v>
      </c>
      <c r="I62" s="580">
        <v>61.458496427952703</v>
      </c>
      <c r="J62" s="580">
        <v>61.57091663297534</v>
      </c>
      <c r="K62" s="580">
        <v>42.892994933510288</v>
      </c>
      <c r="L62" s="580">
        <v>44.455102556477307</v>
      </c>
    </row>
    <row r="63" spans="1:12" ht="14">
      <c r="A63" s="239"/>
      <c r="B63" s="576" t="s">
        <v>115</v>
      </c>
      <c r="C63" s="580">
        <v>50</v>
      </c>
      <c r="D63" s="580">
        <v>43.623454440396529</v>
      </c>
      <c r="E63" s="580">
        <v>51.486869162133821</v>
      </c>
      <c r="F63" s="580">
        <v>51.184254924268487</v>
      </c>
      <c r="G63" s="580">
        <v>51.997570791057079</v>
      </c>
      <c r="H63" s="580">
        <v>74.219760974197797</v>
      </c>
      <c r="I63" s="580">
        <v>61.225292527219118</v>
      </c>
      <c r="J63" s="580">
        <v>60.734719412572957</v>
      </c>
      <c r="K63" s="580">
        <v>59.345164943128893</v>
      </c>
      <c r="L63" s="580">
        <v>44.692865550793982</v>
      </c>
    </row>
    <row r="64" spans="1:12" ht="14">
      <c r="A64" s="240"/>
      <c r="B64" s="577" t="s">
        <v>116</v>
      </c>
      <c r="C64" s="582">
        <v>50</v>
      </c>
      <c r="D64" s="582">
        <v>49.244213703781007</v>
      </c>
      <c r="E64" s="582">
        <v>69.740814342336265</v>
      </c>
      <c r="F64" s="582">
        <v>52.64812583530896</v>
      </c>
      <c r="G64" s="582">
        <v>52.249105596110333</v>
      </c>
      <c r="H64" s="582">
        <v>57.053393637420427</v>
      </c>
      <c r="I64" s="582">
        <v>61.086402613112703</v>
      </c>
      <c r="J64" s="582">
        <v>61.50304060676401</v>
      </c>
      <c r="K64" s="582">
        <v>58.527975260592889</v>
      </c>
      <c r="L64" s="582">
        <v>43.156398463465727</v>
      </c>
    </row>
    <row r="65" spans="1:12" ht="14">
      <c r="A65" s="238">
        <v>2025</v>
      </c>
      <c r="B65" s="575" t="s">
        <v>105</v>
      </c>
      <c r="C65" s="578">
        <v>50</v>
      </c>
      <c r="D65" s="578">
        <v>67.198200631632162</v>
      </c>
      <c r="E65" s="578">
        <v>67.202482959163447</v>
      </c>
      <c r="F65" s="578">
        <v>52.833366754725567</v>
      </c>
      <c r="G65" s="578">
        <v>56.302979828713269</v>
      </c>
      <c r="H65" s="578">
        <v>56.943542103113423</v>
      </c>
      <c r="I65" s="578">
        <v>60.152168695014574</v>
      </c>
      <c r="J65" s="578">
        <v>63.920972245005807</v>
      </c>
      <c r="K65" s="578">
        <v>44.411849300607933</v>
      </c>
      <c r="L65" s="578">
        <v>46.345829674087923</v>
      </c>
    </row>
    <row r="66" spans="1:12" ht="14">
      <c r="A66" s="239"/>
      <c r="B66" s="576" t="s">
        <v>106</v>
      </c>
      <c r="C66" s="580">
        <v>50</v>
      </c>
      <c r="D66" s="580">
        <v>48.098742756504812</v>
      </c>
      <c r="E66" s="580">
        <v>64.25389412040181</v>
      </c>
      <c r="F66" s="580">
        <v>52.000081200336837</v>
      </c>
      <c r="G66" s="580">
        <v>55.696296678401197</v>
      </c>
      <c r="H66" s="580">
        <v>56.448679857869386</v>
      </c>
      <c r="I66" s="580">
        <v>79.227795626567172</v>
      </c>
      <c r="J66" s="580">
        <v>62.539451409112772</v>
      </c>
      <c r="K66" s="580">
        <v>38.508556392567073</v>
      </c>
      <c r="L66" s="580">
        <v>42.090107511619053</v>
      </c>
    </row>
    <row r="67" spans="1:12" ht="14">
      <c r="A67" s="239"/>
      <c r="B67" s="576" t="s">
        <v>107</v>
      </c>
      <c r="C67" s="580">
        <v>50</v>
      </c>
      <c r="D67" s="580">
        <v>44.426209405728393</v>
      </c>
      <c r="E67" s="580">
        <v>65.353388826168597</v>
      </c>
      <c r="F67" s="580">
        <v>53.617738976552907</v>
      </c>
      <c r="G67" s="580">
        <v>56.36421841245685</v>
      </c>
      <c r="H67" s="580">
        <v>53.258448304648887</v>
      </c>
      <c r="I67" s="580">
        <v>61.379496863675918</v>
      </c>
      <c r="J67" s="580">
        <v>64.411635663592349</v>
      </c>
      <c r="K67" s="580">
        <v>42.654423285991058</v>
      </c>
      <c r="L67" s="580">
        <v>59.412274839274502</v>
      </c>
    </row>
    <row r="68" spans="1:12" ht="14">
      <c r="A68" s="239"/>
      <c r="B68" s="576" t="s">
        <v>108</v>
      </c>
      <c r="C68" s="580">
        <v>50</v>
      </c>
      <c r="D68" s="580">
        <v>43.347035190640057</v>
      </c>
      <c r="E68" s="580">
        <v>54.900921836228001</v>
      </c>
      <c r="F68" s="580">
        <v>67.128658766972379</v>
      </c>
      <c r="G68" s="580">
        <v>57.316010502763987</v>
      </c>
      <c r="H68" s="580">
        <v>52.865130148610767</v>
      </c>
      <c r="I68" s="580">
        <v>59.851646522276759</v>
      </c>
      <c r="J68" s="580">
        <v>46.00049899605456</v>
      </c>
      <c r="K68" s="580">
        <v>46.264667818251297</v>
      </c>
      <c r="L68" s="580">
        <v>54.9164473480932</v>
      </c>
    </row>
    <row r="69" spans="1:12" ht="14">
      <c r="A69" s="239"/>
      <c r="B69" s="576" t="s">
        <v>109</v>
      </c>
      <c r="C69" s="580">
        <v>50</v>
      </c>
      <c r="D69" s="580">
        <v>36.969143671180113</v>
      </c>
      <c r="E69" s="580">
        <v>67.113065342015517</v>
      </c>
      <c r="F69" s="580">
        <v>56.869936619381527</v>
      </c>
      <c r="G69" s="580">
        <v>52.992476212464872</v>
      </c>
      <c r="H69" s="580">
        <v>69.297662165792417</v>
      </c>
      <c r="I69" s="580">
        <v>36.230163715580233</v>
      </c>
      <c r="J69" s="580">
        <v>62.259686333357919</v>
      </c>
      <c r="K69" s="580">
        <v>57.3624847686458</v>
      </c>
      <c r="L69" s="580">
        <v>37.042889128902061</v>
      </c>
    </row>
    <row r="70" spans="1:12" ht="14">
      <c r="A70" s="239"/>
      <c r="B70" s="576" t="s">
        <v>110</v>
      </c>
      <c r="C70" s="584">
        <v>50</v>
      </c>
      <c r="D70" s="585">
        <v>51.275119273432757</v>
      </c>
      <c r="E70" s="585">
        <v>68.989347791547061</v>
      </c>
      <c r="F70" s="585">
        <v>70.869080054770407</v>
      </c>
      <c r="G70" s="585">
        <v>72.388837732640766</v>
      </c>
      <c r="H70" s="585">
        <v>53.45591152759301</v>
      </c>
      <c r="I70" s="585">
        <v>59.426984681664223</v>
      </c>
      <c r="J70" s="585">
        <v>60.208025605034827</v>
      </c>
      <c r="K70" s="585">
        <v>45.859990604335152</v>
      </c>
      <c r="L70" s="585">
        <v>62.580748673457293</v>
      </c>
    </row>
    <row r="71" spans="1:12" ht="14">
      <c r="A71" s="239"/>
      <c r="B71" s="576" t="s">
        <v>117</v>
      </c>
      <c r="C71" s="584">
        <v>50</v>
      </c>
      <c r="D71" s="585">
        <v>65.595044863801235</v>
      </c>
      <c r="E71" s="585">
        <v>53.390932273196789</v>
      </c>
      <c r="F71" s="585">
        <v>72.786680684691618</v>
      </c>
      <c r="G71" s="585">
        <v>71.280719387189677</v>
      </c>
      <c r="H71" s="585">
        <v>70.698070516352317</v>
      </c>
      <c r="I71" s="585">
        <v>44.862854889860593</v>
      </c>
      <c r="J71" s="585">
        <v>62.460232169438711</v>
      </c>
      <c r="K71" s="585">
        <v>22.50667980458087</v>
      </c>
      <c r="L71" s="585">
        <v>63.56661602916023</v>
      </c>
    </row>
    <row r="72" spans="1:12" ht="14">
      <c r="A72" s="239"/>
      <c r="B72" s="576" t="s">
        <v>112</v>
      </c>
      <c r="C72" s="584">
        <v>50</v>
      </c>
      <c r="D72" s="585">
        <v>50.621009393920943</v>
      </c>
      <c r="E72" s="585">
        <v>47.975763488941531</v>
      </c>
      <c r="F72" s="585">
        <v>72.266551597883975</v>
      </c>
      <c r="G72" s="585">
        <v>71.641403206140694</v>
      </c>
      <c r="H72" s="585">
        <v>72.885688704170875</v>
      </c>
      <c r="I72" s="585">
        <v>44.393236150707963</v>
      </c>
      <c r="J72" s="585">
        <v>44.65750169814941</v>
      </c>
      <c r="K72" s="585">
        <v>67.246308381438794</v>
      </c>
      <c r="L72" s="585">
        <v>31.435332246547912</v>
      </c>
    </row>
    <row r="73" spans="1:12" ht="14">
      <c r="A73" s="239"/>
      <c r="B73" s="576" t="s">
        <v>113</v>
      </c>
      <c r="C73" s="584">
        <v>50</v>
      </c>
      <c r="D73" s="585">
        <v>44.394761737252999</v>
      </c>
      <c r="E73" s="585">
        <v>45.747351422780348</v>
      </c>
      <c r="F73" s="585">
        <v>72.560672109100906</v>
      </c>
      <c r="G73" s="585">
        <v>73.658149150244057</v>
      </c>
      <c r="H73" s="585">
        <v>79.298285658254414</v>
      </c>
      <c r="I73" s="585">
        <v>42.931835960929057</v>
      </c>
      <c r="J73" s="585">
        <v>46.887134870399443</v>
      </c>
      <c r="K73" s="585">
        <v>55.020933684388709</v>
      </c>
      <c r="L73" s="585">
        <v>66.002622479083243</v>
      </c>
    </row>
    <row r="74" spans="1:12" ht="14">
      <c r="A74" s="239"/>
      <c r="B74" s="576" t="s">
        <v>114</v>
      </c>
      <c r="C74" s="584">
        <v>50</v>
      </c>
      <c r="D74" s="585">
        <v>67.872524348528771</v>
      </c>
      <c r="E74" s="585">
        <v>44.338627710981903</v>
      </c>
      <c r="F74" s="585">
        <v>70.178058720920959</v>
      </c>
      <c r="G74" s="585">
        <v>80.085107195044813</v>
      </c>
      <c r="H74" s="585">
        <v>79.670739312253815</v>
      </c>
      <c r="I74" s="585">
        <v>45.140264574364608</v>
      </c>
      <c r="J74" s="585">
        <v>44.741163441771221</v>
      </c>
      <c r="K74" s="585">
        <v>69.527626548283578</v>
      </c>
      <c r="L74" s="585">
        <v>50.532971360319173</v>
      </c>
    </row>
    <row r="75" spans="1:12" ht="14">
      <c r="A75" s="239"/>
      <c r="B75" s="576" t="s">
        <v>115</v>
      </c>
      <c r="C75" s="584">
        <v>50</v>
      </c>
      <c r="D75" s="585">
        <v>49.233422595703132</v>
      </c>
      <c r="E75" s="585">
        <v>54.189093064644652</v>
      </c>
      <c r="F75" s="585">
        <v>73.272977291685805</v>
      </c>
      <c r="G75" s="585">
        <v>69.952811747608152</v>
      </c>
      <c r="H75" s="585">
        <v>83.458057356430459</v>
      </c>
      <c r="I75" s="585">
        <v>44.097692954471327</v>
      </c>
      <c r="J75" s="585">
        <v>46.239361715434853</v>
      </c>
      <c r="K75" s="585">
        <v>29.503636119046242</v>
      </c>
      <c r="L75" s="585">
        <v>81.424049598488139</v>
      </c>
    </row>
    <row r="76" spans="1:12" ht="14">
      <c r="A76" s="240"/>
      <c r="B76" s="577" t="s">
        <v>116</v>
      </c>
      <c r="C76" s="586">
        <v>50</v>
      </c>
      <c r="D76" s="587">
        <v>64.011322868022802</v>
      </c>
      <c r="E76" s="587">
        <v>59.492844725012418</v>
      </c>
      <c r="F76" s="587">
        <v>68.40654388159075</v>
      </c>
      <c r="G76" s="587">
        <v>79.41586562781039</v>
      </c>
      <c r="H76" s="587">
        <v>67.021322127405682</v>
      </c>
      <c r="I76" s="587">
        <v>42.889165592704089</v>
      </c>
      <c r="J76" s="587">
        <v>46.23900422091009</v>
      </c>
      <c r="K76" s="587">
        <v>63.375355774868723</v>
      </c>
      <c r="L76" s="587">
        <v>38.363619122034898</v>
      </c>
    </row>
    <row r="77" spans="1:12" ht="14">
      <c r="A77" s="238">
        <v>2026</v>
      </c>
      <c r="B77" s="575" t="s">
        <v>105</v>
      </c>
      <c r="C77" s="684">
        <v>50</v>
      </c>
      <c r="D77" s="685">
        <v>55.179270279520978</v>
      </c>
      <c r="E77" s="685">
        <v>49.23967227371174</v>
      </c>
      <c r="F77" s="685">
        <v>70.90143196109554</v>
      </c>
      <c r="G77" s="685">
        <v>71.127777780049371</v>
      </c>
      <c r="H77" s="685">
        <v>82.831971303834067</v>
      </c>
      <c r="I77" s="685">
        <v>35.996659495479967</v>
      </c>
      <c r="J77" s="685">
        <v>38.225976456977897</v>
      </c>
      <c r="K77" s="685">
        <v>36.054198590835043</v>
      </c>
      <c r="L77" s="685">
        <v>58.952820373304149</v>
      </c>
    </row>
    <row r="78" spans="1:12" ht="14">
      <c r="A78" s="239"/>
      <c r="B78" s="576" t="s">
        <v>106</v>
      </c>
      <c r="C78" s="584">
        <v>50</v>
      </c>
      <c r="D78" s="585">
        <v>42.366788133155183</v>
      </c>
      <c r="E78" s="585">
        <v>53.062135806534599</v>
      </c>
      <c r="F78" s="585">
        <v>65.467128883176358</v>
      </c>
      <c r="G78" s="585">
        <v>66.329594671916126</v>
      </c>
      <c r="H78" s="585">
        <v>83.425628440378205</v>
      </c>
      <c r="I78" s="585">
        <v>46.232110482349412</v>
      </c>
      <c r="J78" s="585">
        <v>53.839303170536091</v>
      </c>
      <c r="K78" s="585">
        <v>66.935000899590406</v>
      </c>
      <c r="L78" s="585">
        <v>47.812985415492108</v>
      </c>
    </row>
    <row r="79" spans="1:12" ht="14">
      <c r="A79" s="240"/>
      <c r="B79" s="577" t="s">
        <v>107</v>
      </c>
      <c r="C79" s="586">
        <v>50</v>
      </c>
      <c r="D79" s="587">
        <v>76.203986773304962</v>
      </c>
      <c r="E79" s="587">
        <v>52.595890773271442</v>
      </c>
      <c r="F79" s="587">
        <v>79.885349140650632</v>
      </c>
      <c r="G79" s="587">
        <v>79.411675127703731</v>
      </c>
      <c r="H79" s="587">
        <v>67.751658899534931</v>
      </c>
      <c r="I79" s="587">
        <v>43.623156172723753</v>
      </c>
      <c r="J79" s="587">
        <v>47.477696772754243</v>
      </c>
      <c r="K79" s="587">
        <v>79.547308065089808</v>
      </c>
      <c r="L79" s="587">
        <v>50.362540600528099</v>
      </c>
    </row>
    <row r="80" spans="1:12" ht="14.5">
      <c r="A80" s="213"/>
      <c r="B80" s="214"/>
      <c r="C80" s="118"/>
      <c r="D80" s="118"/>
      <c r="E80" s="118"/>
      <c r="F80" s="118"/>
      <c r="G80" s="118"/>
      <c r="H80" s="118"/>
      <c r="I80" s="118"/>
      <c r="J80" s="118"/>
      <c r="K80" s="118"/>
      <c r="L80" s="118"/>
    </row>
    <row r="81" spans="1:12" ht="22.5" customHeight="1">
      <c r="A81" s="727" t="s">
        <v>321</v>
      </c>
      <c r="B81" s="727"/>
      <c r="C81" s="727"/>
      <c r="D81" s="727"/>
      <c r="E81" s="727"/>
      <c r="F81" s="727"/>
      <c r="G81" s="727"/>
      <c r="H81" s="727"/>
      <c r="I81" s="727"/>
      <c r="J81" s="727"/>
      <c r="K81" s="727"/>
      <c r="L81" s="727"/>
    </row>
    <row r="82" spans="1:12">
      <c r="A82" s="101"/>
      <c r="B82" s="101"/>
      <c r="C82" s="101"/>
      <c r="D82" s="118"/>
      <c r="E82" s="118"/>
      <c r="F82" s="118"/>
      <c r="G82" s="118"/>
      <c r="H82" s="118"/>
      <c r="I82" s="118"/>
      <c r="J82" s="118"/>
      <c r="K82" s="118"/>
      <c r="L82" s="118"/>
    </row>
    <row r="83" spans="1:12" ht="14.5" customHeight="1">
      <c r="A83" s="710" t="s">
        <v>118</v>
      </c>
      <c r="B83" s="710"/>
      <c r="C83" s="710"/>
      <c r="D83" s="710"/>
      <c r="E83" s="710"/>
    </row>
    <row r="84" spans="1:12">
      <c r="A84" s="191"/>
      <c r="B84" s="191"/>
      <c r="C84" s="191"/>
      <c r="D84" s="191"/>
      <c r="E84" s="191"/>
      <c r="F84" s="191"/>
      <c r="G84" s="191"/>
      <c r="H84" s="191"/>
      <c r="I84" s="191"/>
      <c r="J84" s="191"/>
      <c r="K84" s="191"/>
      <c r="L84" s="191"/>
    </row>
    <row r="85" spans="1:12">
      <c r="D85" s="203"/>
      <c r="E85" s="203"/>
      <c r="F85" s="203"/>
      <c r="G85" s="203"/>
      <c r="H85" s="203"/>
      <c r="I85" s="203"/>
      <c r="J85" s="203"/>
      <c r="K85" s="203"/>
      <c r="L85" s="203"/>
    </row>
    <row r="86" spans="1:12">
      <c r="D86" s="203"/>
      <c r="E86" s="203"/>
      <c r="F86" s="203"/>
      <c r="G86" s="203"/>
      <c r="H86" s="203"/>
      <c r="I86" s="203"/>
      <c r="J86" s="203"/>
      <c r="K86" s="203"/>
      <c r="L86" s="203"/>
    </row>
    <row r="87" spans="1:12">
      <c r="D87" s="203"/>
      <c r="E87" s="203"/>
      <c r="F87" s="203"/>
      <c r="G87" s="203"/>
      <c r="H87" s="203"/>
      <c r="I87" s="203"/>
      <c r="J87" s="203"/>
      <c r="K87" s="203"/>
      <c r="L87" s="203"/>
    </row>
    <row r="88" spans="1:12">
      <c r="D88" s="203"/>
      <c r="E88" s="203"/>
      <c r="F88" s="203"/>
      <c r="G88" s="203"/>
      <c r="H88" s="203"/>
      <c r="I88" s="203"/>
      <c r="J88" s="203"/>
      <c r="K88" s="203"/>
      <c r="L88" s="203"/>
    </row>
    <row r="89" spans="1:12">
      <c r="D89" s="203"/>
      <c r="E89" s="203"/>
      <c r="F89" s="203"/>
      <c r="G89" s="203"/>
      <c r="H89" s="203"/>
      <c r="I89" s="203"/>
      <c r="J89" s="203"/>
      <c r="K89" s="203"/>
      <c r="L89" s="203"/>
    </row>
    <row r="90" spans="1:12">
      <c r="D90" s="203"/>
      <c r="E90" s="203"/>
      <c r="F90" s="203"/>
      <c r="G90" s="203"/>
      <c r="H90" s="203"/>
      <c r="I90" s="203"/>
      <c r="J90" s="203"/>
      <c r="K90" s="203"/>
      <c r="L90" s="203"/>
    </row>
    <row r="91" spans="1:12">
      <c r="D91" s="203"/>
      <c r="E91" s="203"/>
      <c r="F91" s="203"/>
      <c r="G91" s="203"/>
      <c r="H91" s="203"/>
      <c r="I91" s="203"/>
      <c r="J91" s="203"/>
      <c r="K91" s="203"/>
      <c r="L91" s="203"/>
    </row>
    <row r="92" spans="1:12">
      <c r="D92" s="203"/>
      <c r="E92" s="203"/>
      <c r="F92" s="203"/>
      <c r="G92" s="203"/>
      <c r="H92" s="203"/>
      <c r="I92" s="203"/>
      <c r="J92" s="203"/>
      <c r="K92" s="203"/>
      <c r="L92" s="203"/>
    </row>
    <row r="93" spans="1:12">
      <c r="D93" s="203"/>
      <c r="E93" s="203"/>
      <c r="F93" s="203"/>
      <c r="G93" s="203"/>
      <c r="H93" s="203"/>
      <c r="I93" s="203"/>
      <c r="J93" s="203"/>
      <c r="K93" s="203"/>
      <c r="L93" s="203"/>
    </row>
    <row r="94" spans="1:12">
      <c r="D94" s="203"/>
      <c r="E94" s="203"/>
      <c r="F94" s="203"/>
      <c r="G94" s="203"/>
      <c r="H94" s="203"/>
      <c r="I94" s="203"/>
      <c r="J94" s="203"/>
      <c r="K94" s="203"/>
      <c r="L94" s="203"/>
    </row>
    <row r="95" spans="1:12">
      <c r="D95" s="203"/>
      <c r="E95" s="203"/>
      <c r="F95" s="203"/>
      <c r="G95" s="203"/>
      <c r="H95" s="203"/>
      <c r="I95" s="203"/>
      <c r="J95" s="203"/>
      <c r="K95" s="203"/>
      <c r="L95" s="203"/>
    </row>
    <row r="97" spans="3:12">
      <c r="C97" s="203"/>
      <c r="D97" s="203"/>
      <c r="E97" s="203"/>
      <c r="F97" s="203"/>
      <c r="G97" s="203"/>
      <c r="H97" s="203"/>
      <c r="I97" s="203"/>
      <c r="J97" s="203"/>
      <c r="K97" s="203"/>
      <c r="L97" s="203"/>
    </row>
    <row r="98" spans="3:12">
      <c r="C98" s="203"/>
      <c r="D98" s="203"/>
      <c r="E98" s="203"/>
      <c r="F98" s="203"/>
      <c r="G98" s="203"/>
      <c r="H98" s="203"/>
      <c r="I98" s="203"/>
      <c r="J98" s="203"/>
      <c r="K98" s="203"/>
      <c r="L98" s="203"/>
    </row>
    <row r="99" spans="3:12">
      <c r="C99" s="203"/>
      <c r="D99" s="203"/>
      <c r="E99" s="203"/>
      <c r="F99" s="203"/>
      <c r="G99" s="203"/>
      <c r="H99" s="203"/>
      <c r="I99" s="203"/>
      <c r="J99" s="203"/>
      <c r="K99" s="203"/>
      <c r="L99" s="203"/>
    </row>
    <row r="100" spans="3:12">
      <c r="C100" s="203"/>
      <c r="D100" s="203"/>
      <c r="E100" s="203"/>
      <c r="F100" s="203"/>
      <c r="G100" s="203"/>
      <c r="H100" s="203"/>
      <c r="I100" s="203"/>
      <c r="J100" s="203"/>
      <c r="K100" s="203"/>
      <c r="L100" s="203"/>
    </row>
    <row r="101" spans="3:12">
      <c r="C101" s="203"/>
      <c r="D101" s="203"/>
      <c r="E101" s="203"/>
      <c r="F101" s="203"/>
      <c r="G101" s="203"/>
      <c r="H101" s="203"/>
      <c r="I101" s="203"/>
      <c r="J101" s="203"/>
      <c r="K101" s="203"/>
      <c r="L101" s="203"/>
    </row>
    <row r="102" spans="3:12">
      <c r="C102" s="203"/>
      <c r="D102" s="203"/>
      <c r="E102" s="203"/>
      <c r="F102" s="203"/>
      <c r="G102" s="203"/>
      <c r="H102" s="203"/>
      <c r="I102" s="203"/>
      <c r="J102" s="203"/>
      <c r="K102" s="203"/>
      <c r="L102" s="203"/>
    </row>
    <row r="103" spans="3:12">
      <c r="C103" s="203"/>
      <c r="D103" s="203"/>
      <c r="E103" s="203"/>
      <c r="F103" s="203"/>
      <c r="G103" s="203"/>
      <c r="H103" s="203"/>
      <c r="I103" s="203"/>
      <c r="J103" s="203"/>
      <c r="K103" s="203"/>
      <c r="L103" s="203"/>
    </row>
    <row r="104" spans="3:12">
      <c r="C104" s="203"/>
      <c r="D104" s="203"/>
      <c r="E104" s="203"/>
      <c r="F104" s="203"/>
      <c r="G104" s="203"/>
      <c r="H104" s="203"/>
      <c r="I104" s="203"/>
      <c r="J104" s="203"/>
      <c r="K104" s="203"/>
      <c r="L104" s="203"/>
    </row>
    <row r="105" spans="3:12">
      <c r="C105" s="203"/>
      <c r="D105" s="203"/>
      <c r="E105" s="203"/>
      <c r="F105" s="203"/>
      <c r="G105" s="203"/>
      <c r="H105" s="203"/>
      <c r="I105" s="203"/>
      <c r="J105" s="203"/>
      <c r="K105" s="203"/>
      <c r="L105" s="203"/>
    </row>
    <row r="106" spans="3:12">
      <c r="C106" s="203"/>
      <c r="D106" s="203"/>
      <c r="E106" s="203"/>
      <c r="F106" s="203"/>
      <c r="G106" s="203"/>
      <c r="H106" s="203"/>
      <c r="I106" s="203"/>
      <c r="J106" s="203"/>
      <c r="K106" s="203"/>
      <c r="L106" s="203"/>
    </row>
    <row r="107" spans="3:12">
      <c r="C107" s="203"/>
      <c r="D107" s="203"/>
      <c r="E107" s="203"/>
      <c r="F107" s="203"/>
      <c r="G107" s="203"/>
      <c r="H107" s="203"/>
      <c r="I107" s="203"/>
      <c r="J107" s="203"/>
      <c r="K107" s="203"/>
      <c r="L107" s="203"/>
    </row>
  </sheetData>
  <sheetProtection sheet="1" insertColumns="0" insertRows="0" deleteColumns="0" deleteRows="0"/>
  <mergeCells count="15">
    <mergeCell ref="A1:L1"/>
    <mergeCell ref="A83:E83"/>
    <mergeCell ref="A3:B3"/>
    <mergeCell ref="C3:F3"/>
    <mergeCell ref="A4:B4"/>
    <mergeCell ref="C4:F4"/>
    <mergeCell ref="A5:B5"/>
    <mergeCell ref="C5:F5"/>
    <mergeCell ref="A6:B6"/>
    <mergeCell ref="C6:F6"/>
    <mergeCell ref="A10:B11"/>
    <mergeCell ref="C10:C11"/>
    <mergeCell ref="D10:L10"/>
    <mergeCell ref="A8:L8"/>
    <mergeCell ref="A81:L81"/>
  </mergeCells>
  <pageMargins left="0.7" right="0.7" top="0.75" bottom="0.75" header="0.3" footer="0.3"/>
  <pageSetup scale="4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653"/>
  <sheetViews>
    <sheetView topLeftCell="A61" zoomScaleNormal="100" workbookViewId="0">
      <selection activeCell="E30" sqref="E30"/>
    </sheetView>
  </sheetViews>
  <sheetFormatPr defaultColWidth="8.81640625" defaultRowHeight="13"/>
  <cols>
    <col min="1" max="1" width="8" style="119" customWidth="1"/>
    <col min="2" max="2" width="8.81640625" style="119" customWidth="1"/>
    <col min="3" max="4" width="14.1796875" style="119" customWidth="1"/>
    <col min="5" max="5" width="14.81640625" style="119" customWidth="1"/>
    <col min="6" max="6" width="13.81640625" style="119" customWidth="1"/>
    <col min="7" max="7" width="14.453125" style="119" customWidth="1"/>
    <col min="8" max="8" width="16.1796875" style="119" customWidth="1"/>
    <col min="9" max="9" width="14.453125" style="119" customWidth="1"/>
    <col min="10" max="10" width="14.81640625" style="119" customWidth="1"/>
    <col min="11" max="11" width="15.81640625" style="119" customWidth="1"/>
    <col min="12" max="12" width="14.453125" style="119" customWidth="1"/>
    <col min="13" max="13" width="14.1796875" style="119" customWidth="1"/>
    <col min="14" max="14" width="15" style="119" customWidth="1"/>
    <col min="15" max="16384" width="8.81640625" style="119"/>
  </cols>
  <sheetData>
    <row r="1" spans="1:14" ht="15.5">
      <c r="A1" s="709" t="s">
        <v>333</v>
      </c>
      <c r="B1" s="709"/>
      <c r="C1" s="709"/>
      <c r="D1" s="709"/>
      <c r="E1" s="709"/>
      <c r="F1" s="709"/>
      <c r="G1" s="709"/>
      <c r="H1" s="709"/>
      <c r="I1" s="709"/>
      <c r="J1" s="709"/>
      <c r="K1" s="709"/>
      <c r="L1" s="709"/>
      <c r="M1" s="709"/>
      <c r="N1" s="709"/>
    </row>
    <row r="3" spans="1:14">
      <c r="A3" s="91" t="s">
        <v>334</v>
      </c>
    </row>
    <row r="4" spans="1:14">
      <c r="A4" s="65"/>
      <c r="B4" s="65"/>
      <c r="C4" s="65"/>
      <c r="D4" s="65"/>
      <c r="E4" s="65"/>
      <c r="F4" s="65"/>
      <c r="G4" s="65"/>
      <c r="H4" s="65"/>
      <c r="I4" s="65"/>
      <c r="J4" s="65"/>
      <c r="K4" s="65"/>
      <c r="L4" s="65"/>
      <c r="M4" s="65"/>
      <c r="N4" s="65"/>
    </row>
    <row r="5" spans="1:14" ht="14">
      <c r="A5" s="827" t="s">
        <v>335</v>
      </c>
      <c r="B5" s="827"/>
      <c r="C5" s="827"/>
      <c r="D5" s="827"/>
      <c r="E5" s="827"/>
      <c r="F5" s="827"/>
      <c r="G5" s="827"/>
      <c r="H5" s="827"/>
      <c r="I5" s="827"/>
      <c r="J5" s="827"/>
      <c r="K5" s="827"/>
      <c r="L5" s="827"/>
      <c r="M5" s="827"/>
      <c r="N5" s="827"/>
    </row>
    <row r="6" spans="1:14" s="120" customFormat="1" ht="20.149999999999999" customHeight="1">
      <c r="A6" s="804" t="s">
        <v>98</v>
      </c>
      <c r="B6" s="805"/>
      <c r="C6" s="829" t="s">
        <v>322</v>
      </c>
      <c r="D6" s="828" t="s">
        <v>336</v>
      </c>
      <c r="E6" s="819"/>
      <c r="F6" s="819"/>
      <c r="G6" s="819"/>
      <c r="H6" s="819"/>
      <c r="I6" s="819"/>
      <c r="J6" s="819"/>
      <c r="K6" s="819"/>
      <c r="L6" s="819"/>
      <c r="M6" s="819"/>
      <c r="N6" s="820"/>
    </row>
    <row r="7" spans="1:14" s="120" customFormat="1" ht="61" customHeight="1">
      <c r="A7" s="806"/>
      <c r="B7" s="807"/>
      <c r="C7" s="830"/>
      <c r="D7" s="376" t="s">
        <v>337</v>
      </c>
      <c r="E7" s="376" t="s">
        <v>215</v>
      </c>
      <c r="F7" s="376" t="s">
        <v>338</v>
      </c>
      <c r="G7" s="376" t="s">
        <v>339</v>
      </c>
      <c r="H7" s="376" t="s">
        <v>340</v>
      </c>
      <c r="I7" s="376" t="s">
        <v>341</v>
      </c>
      <c r="J7" s="277" t="s">
        <v>342</v>
      </c>
      <c r="K7" s="277" t="s">
        <v>343</v>
      </c>
      <c r="L7" s="277" t="s">
        <v>344</v>
      </c>
      <c r="M7" s="281" t="s">
        <v>345</v>
      </c>
      <c r="N7" s="281" t="s">
        <v>346</v>
      </c>
    </row>
    <row r="8" spans="1:14" ht="14">
      <c r="A8" s="239">
        <v>2020</v>
      </c>
      <c r="B8" s="573" t="s">
        <v>112</v>
      </c>
      <c r="C8" s="581">
        <v>50</v>
      </c>
      <c r="D8" s="578">
        <v>57.026259758694103</v>
      </c>
      <c r="E8" s="578">
        <v>61.42755428978284</v>
      </c>
      <c r="F8" s="578">
        <v>50.564024390243901</v>
      </c>
      <c r="G8" s="578">
        <v>54.41199684293607</v>
      </c>
      <c r="H8" s="578">
        <v>53.402462734931959</v>
      </c>
      <c r="I8" s="578">
        <v>50.714285714285722</v>
      </c>
      <c r="J8" s="578">
        <v>50.3904071388734</v>
      </c>
      <c r="K8" s="578">
        <v>77.344992050874382</v>
      </c>
      <c r="L8" s="579">
        <v>35.468699318845282</v>
      </c>
      <c r="M8" s="578">
        <v>52.492012779552731</v>
      </c>
      <c r="N8" s="578">
        <v>51.922829581993582</v>
      </c>
    </row>
    <row r="9" spans="1:14" ht="14">
      <c r="A9" s="239"/>
      <c r="B9" s="573" t="s">
        <v>113</v>
      </c>
      <c r="C9" s="581">
        <v>50</v>
      </c>
      <c r="D9" s="580">
        <v>88.675123326286126</v>
      </c>
      <c r="E9" s="580">
        <v>47.020451339915368</v>
      </c>
      <c r="F9" s="580">
        <v>50.602409638554221</v>
      </c>
      <c r="G9" s="580">
        <v>44.16376306620208</v>
      </c>
      <c r="H9" s="580">
        <v>54.339440694310511</v>
      </c>
      <c r="I9" s="580">
        <v>52.635486265775818</v>
      </c>
      <c r="J9" s="580">
        <v>45.401629802095457</v>
      </c>
      <c r="K9" s="580">
        <v>56.072555205047323</v>
      </c>
      <c r="L9" s="581">
        <v>61.657117672983667</v>
      </c>
      <c r="M9" s="580">
        <v>37.892948173322011</v>
      </c>
      <c r="N9" s="580">
        <v>47.887077997671717</v>
      </c>
    </row>
    <row r="10" spans="1:14" ht="14">
      <c r="A10" s="239"/>
      <c r="B10" s="573" t="s">
        <v>114</v>
      </c>
      <c r="C10" s="581">
        <v>50</v>
      </c>
      <c r="D10" s="580">
        <v>54.422921711057299</v>
      </c>
      <c r="E10" s="580">
        <v>46.075401730531517</v>
      </c>
      <c r="F10" s="580">
        <v>49.611791025134877</v>
      </c>
      <c r="G10" s="580">
        <v>43.388927097661629</v>
      </c>
      <c r="H10" s="580">
        <v>48.396201057252931</v>
      </c>
      <c r="I10" s="580">
        <v>48.492907801418433</v>
      </c>
      <c r="J10" s="580">
        <v>76.270857586340696</v>
      </c>
      <c r="K10" s="580">
        <v>50</v>
      </c>
      <c r="L10" s="581">
        <v>70.436090225563902</v>
      </c>
      <c r="M10" s="580">
        <v>50.160771704180057</v>
      </c>
      <c r="N10" s="580">
        <v>49.972799477749973</v>
      </c>
    </row>
    <row r="11" spans="1:14" ht="14">
      <c r="A11" s="239"/>
      <c r="B11" s="573" t="s">
        <v>115</v>
      </c>
      <c r="C11" s="581">
        <v>50</v>
      </c>
      <c r="D11" s="580">
        <v>46.872568850163368</v>
      </c>
      <c r="E11" s="580">
        <v>48.204826368452032</v>
      </c>
      <c r="F11" s="580">
        <v>44.940328194927893</v>
      </c>
      <c r="G11" s="580">
        <v>56.555414730319683</v>
      </c>
      <c r="H11" s="580">
        <v>50.008959770629872</v>
      </c>
      <c r="I11" s="580">
        <v>49.51014695591325</v>
      </c>
      <c r="J11" s="580">
        <v>68.160651920838177</v>
      </c>
      <c r="K11" s="580">
        <v>49.524564183835182</v>
      </c>
      <c r="L11" s="581">
        <v>61.880316808448242</v>
      </c>
      <c r="M11" s="580">
        <v>45.040431266846362</v>
      </c>
      <c r="N11" s="580">
        <v>52.274042356208781</v>
      </c>
    </row>
    <row r="12" spans="1:14" ht="14">
      <c r="A12" s="239"/>
      <c r="B12" s="574" t="s">
        <v>116</v>
      </c>
      <c r="C12" s="583">
        <v>50</v>
      </c>
      <c r="D12" s="582">
        <v>55.637982195845687</v>
      </c>
      <c r="E12" s="582">
        <v>55.852842809364553</v>
      </c>
      <c r="F12" s="582">
        <v>39.175329175329168</v>
      </c>
      <c r="G12" s="582">
        <v>71.823583180987214</v>
      </c>
      <c r="H12" s="582">
        <v>48.936170212765958</v>
      </c>
      <c r="I12" s="582">
        <v>61.994002998500768</v>
      </c>
      <c r="J12" s="582">
        <v>55.180442374854493</v>
      </c>
      <c r="K12" s="582">
        <v>48.694942903752043</v>
      </c>
      <c r="L12" s="583">
        <v>86.88063063063062</v>
      </c>
      <c r="M12" s="582">
        <v>36.902050113895228</v>
      </c>
      <c r="N12" s="582">
        <v>50.844725303069389</v>
      </c>
    </row>
    <row r="13" spans="1:14" ht="14">
      <c r="A13" s="238">
        <v>2021</v>
      </c>
      <c r="B13" s="573" t="s">
        <v>105</v>
      </c>
      <c r="C13" s="581">
        <v>50</v>
      </c>
      <c r="D13" s="580">
        <v>61.693489923155013</v>
      </c>
      <c r="E13" s="580">
        <v>55.153890824622529</v>
      </c>
      <c r="F13" s="580">
        <v>43.118594436310389</v>
      </c>
      <c r="G13" s="580">
        <v>52.475928473177447</v>
      </c>
      <c r="H13" s="580">
        <v>52.232545552949667</v>
      </c>
      <c r="I13" s="580">
        <v>72.098053352559504</v>
      </c>
      <c r="J13" s="580">
        <v>67.503059975520188</v>
      </c>
      <c r="K13" s="580">
        <v>46.147672552166938</v>
      </c>
      <c r="L13" s="581">
        <v>27.080764488286061</v>
      </c>
      <c r="M13" s="578">
        <v>66.291727140783735</v>
      </c>
      <c r="N13" s="578">
        <v>52.847364818617393</v>
      </c>
    </row>
    <row r="14" spans="1:14" ht="14">
      <c r="A14" s="239"/>
      <c r="B14" s="573" t="s">
        <v>106</v>
      </c>
      <c r="C14" s="581">
        <v>50</v>
      </c>
      <c r="D14" s="580">
        <v>92.612997526422305</v>
      </c>
      <c r="E14" s="580">
        <v>41.466005665722378</v>
      </c>
      <c r="F14" s="580">
        <v>47.396979029183157</v>
      </c>
      <c r="G14" s="580">
        <v>51.038453629446828</v>
      </c>
      <c r="H14" s="580">
        <v>47.812702527543728</v>
      </c>
      <c r="I14" s="580">
        <v>74.360236220472444</v>
      </c>
      <c r="J14" s="580">
        <v>55.242758057935553</v>
      </c>
      <c r="K14" s="580">
        <v>55.489021956087832</v>
      </c>
      <c r="L14" s="581">
        <v>49.187279151943478</v>
      </c>
      <c r="M14" s="580">
        <v>56.944444444444457</v>
      </c>
      <c r="N14" s="580">
        <v>50.331369661266542</v>
      </c>
    </row>
    <row r="15" spans="1:14" ht="14">
      <c r="A15" s="239"/>
      <c r="B15" s="573" t="s">
        <v>107</v>
      </c>
      <c r="C15" s="581">
        <v>50</v>
      </c>
      <c r="D15" s="580">
        <v>86.746987951807199</v>
      </c>
      <c r="E15" s="580">
        <v>59.941804073714842</v>
      </c>
      <c r="F15" s="580">
        <v>65.343990864972895</v>
      </c>
      <c r="G15" s="580">
        <v>42.221039560049661</v>
      </c>
      <c r="H15" s="580">
        <v>52.13185238265855</v>
      </c>
      <c r="I15" s="580">
        <v>48.886827458256043</v>
      </c>
      <c r="J15" s="580">
        <v>81.02444703143189</v>
      </c>
      <c r="K15" s="580">
        <v>45.826645264847507</v>
      </c>
      <c r="L15" s="581">
        <v>73.658872077028889</v>
      </c>
      <c r="M15" s="580">
        <v>59.776785714285708</v>
      </c>
      <c r="N15" s="580">
        <v>59.304380760005017</v>
      </c>
    </row>
    <row r="16" spans="1:14" ht="14">
      <c r="A16" s="239"/>
      <c r="B16" s="573" t="s">
        <v>108</v>
      </c>
      <c r="C16" s="581">
        <v>50</v>
      </c>
      <c r="D16" s="580">
        <v>80.832724616508415</v>
      </c>
      <c r="E16" s="580">
        <v>53.549382716049379</v>
      </c>
      <c r="F16" s="580">
        <v>48.056512749827696</v>
      </c>
      <c r="G16" s="580">
        <v>71.455124800849703</v>
      </c>
      <c r="H16" s="580">
        <v>55.588440111420617</v>
      </c>
      <c r="I16" s="580">
        <v>69.139596136962254</v>
      </c>
      <c r="J16" s="580">
        <v>57.397827211588208</v>
      </c>
      <c r="K16" s="580">
        <v>50.57755775577558</v>
      </c>
      <c r="L16" s="581">
        <v>16.254253015774811</v>
      </c>
      <c r="M16" s="580">
        <v>44.191714053614938</v>
      </c>
      <c r="N16" s="580">
        <v>53.005123944052073</v>
      </c>
    </row>
    <row r="17" spans="1:14" ht="14">
      <c r="A17" s="239"/>
      <c r="B17" s="573" t="s">
        <v>109</v>
      </c>
      <c r="C17" s="581">
        <v>50</v>
      </c>
      <c r="D17" s="580">
        <v>44.359171143514942</v>
      </c>
      <c r="E17" s="580">
        <v>51.355060034305318</v>
      </c>
      <c r="F17" s="580">
        <v>43.024172359432448</v>
      </c>
      <c r="G17" s="580">
        <v>61.836485661989023</v>
      </c>
      <c r="H17" s="580">
        <v>46.111975116640743</v>
      </c>
      <c r="I17" s="580">
        <v>75.618945102260497</v>
      </c>
      <c r="J17" s="580">
        <v>72.031823745410037</v>
      </c>
      <c r="K17" s="580">
        <v>53.104575163398692</v>
      </c>
      <c r="L17" s="581">
        <v>89.608208955223887</v>
      </c>
      <c r="M17" s="580">
        <v>57.533112582781463</v>
      </c>
      <c r="N17" s="580">
        <v>61.474321133412047</v>
      </c>
    </row>
    <row r="18" spans="1:14" ht="14">
      <c r="A18" s="239"/>
      <c r="B18" s="573" t="s">
        <v>110</v>
      </c>
      <c r="C18" s="581">
        <v>50</v>
      </c>
      <c r="D18" s="580">
        <v>61.307680967123723</v>
      </c>
      <c r="E18" s="580">
        <v>53.685152057245091</v>
      </c>
      <c r="F18" s="580">
        <v>46.441180624205622</v>
      </c>
      <c r="G18" s="580">
        <v>44.627027027027012</v>
      </c>
      <c r="H18" s="580">
        <v>53.547357218871952</v>
      </c>
      <c r="I18" s="580">
        <v>67.208121827411176</v>
      </c>
      <c r="J18" s="580">
        <v>47.735618115055082</v>
      </c>
      <c r="K18" s="580">
        <v>49.755301794453509</v>
      </c>
      <c r="L18" s="581">
        <v>40.784479122733032</v>
      </c>
      <c r="M18" s="580">
        <v>30.846153846153829</v>
      </c>
      <c r="N18" s="580">
        <v>53.402110568593471</v>
      </c>
    </row>
    <row r="19" spans="1:14" ht="14">
      <c r="A19" s="239"/>
      <c r="B19" s="573" t="s">
        <v>117</v>
      </c>
      <c r="C19" s="581">
        <v>50</v>
      </c>
      <c r="D19" s="580">
        <v>51.590161366128783</v>
      </c>
      <c r="E19" s="580">
        <v>53.761398176291799</v>
      </c>
      <c r="F19" s="580">
        <v>50.217788393986233</v>
      </c>
      <c r="G19" s="580">
        <v>42.372702302979093</v>
      </c>
      <c r="H19" s="580">
        <v>52.027729636048527</v>
      </c>
      <c r="I19" s="580">
        <v>73.336853220696952</v>
      </c>
      <c r="J19" s="580">
        <v>46.797225622195008</v>
      </c>
      <c r="K19" s="580">
        <v>50.159489633173841</v>
      </c>
      <c r="L19" s="581">
        <v>52.694859038142617</v>
      </c>
      <c r="M19" s="580">
        <v>52.733389402859537</v>
      </c>
      <c r="N19" s="580">
        <v>53.003837501654097</v>
      </c>
    </row>
    <row r="20" spans="1:14" ht="14">
      <c r="A20" s="239"/>
      <c r="B20" s="573" t="s">
        <v>112</v>
      </c>
      <c r="C20" s="581">
        <v>50</v>
      </c>
      <c r="D20" s="580">
        <v>76.064037485357318</v>
      </c>
      <c r="E20" s="580">
        <v>37.764852513502291</v>
      </c>
      <c r="F20" s="580">
        <v>27.844620144379491</v>
      </c>
      <c r="G20" s="580">
        <v>29.952696310312209</v>
      </c>
      <c r="H20" s="580">
        <v>68.002136752136821</v>
      </c>
      <c r="I20" s="580">
        <v>68.637803590285131</v>
      </c>
      <c r="J20" s="580">
        <v>49.210360075805433</v>
      </c>
      <c r="K20" s="580">
        <v>16.721581548599691</v>
      </c>
      <c r="L20" s="581">
        <v>13.82154882154882</v>
      </c>
      <c r="M20" s="580">
        <v>42.396313364055302</v>
      </c>
      <c r="N20" s="580">
        <v>47.656361305029201</v>
      </c>
    </row>
    <row r="21" spans="1:14" ht="14">
      <c r="A21" s="239"/>
      <c r="B21" s="573" t="s">
        <v>113</v>
      </c>
      <c r="C21" s="581">
        <v>50</v>
      </c>
      <c r="D21" s="580">
        <v>7.5140753572975214</v>
      </c>
      <c r="E21" s="580">
        <v>24.334870521461511</v>
      </c>
      <c r="F21" s="580">
        <v>13.94981575715037</v>
      </c>
      <c r="G21" s="580">
        <v>29.211439907422712</v>
      </c>
      <c r="H21" s="580">
        <v>20.448717948717981</v>
      </c>
      <c r="I21" s="580">
        <v>51.072796934865927</v>
      </c>
      <c r="J21" s="580">
        <v>15.283230510375761</v>
      </c>
      <c r="K21" s="580">
        <v>38.016528925619838</v>
      </c>
      <c r="L21" s="581">
        <v>12.64805414551607</v>
      </c>
      <c r="M21" s="580">
        <v>23.863636363636338</v>
      </c>
      <c r="N21" s="580">
        <v>9.0050708165763353</v>
      </c>
    </row>
    <row r="22" spans="1:14" ht="14">
      <c r="A22" s="239"/>
      <c r="B22" s="573" t="s">
        <v>114</v>
      </c>
      <c r="C22" s="581">
        <v>50</v>
      </c>
      <c r="D22" s="580">
        <v>86.068755198225674</v>
      </c>
      <c r="E22" s="580">
        <v>20.38948069241011</v>
      </c>
      <c r="F22" s="580">
        <v>29.534883720930221</v>
      </c>
      <c r="G22" s="580">
        <v>35.304508748317673</v>
      </c>
      <c r="H22" s="580">
        <v>20.34428794992175</v>
      </c>
      <c r="I22" s="580">
        <v>52.626362735381562</v>
      </c>
      <c r="J22" s="580">
        <v>13.19620253164555</v>
      </c>
      <c r="K22" s="580">
        <v>41.20781527531085</v>
      </c>
      <c r="L22" s="581">
        <v>36.141678129298498</v>
      </c>
      <c r="M22" s="580">
        <v>39.942528735632187</v>
      </c>
      <c r="N22" s="580">
        <v>37.875417130144612</v>
      </c>
    </row>
    <row r="23" spans="1:14" ht="14">
      <c r="A23" s="239"/>
      <c r="B23" s="573" t="s">
        <v>115</v>
      </c>
      <c r="C23" s="581">
        <v>50</v>
      </c>
      <c r="D23" s="580">
        <v>56.744887257472449</v>
      </c>
      <c r="E23" s="580">
        <v>43.119266055045877</v>
      </c>
      <c r="F23" s="580">
        <v>25.57520604395604</v>
      </c>
      <c r="G23" s="580">
        <v>53.401526221789247</v>
      </c>
      <c r="H23" s="580">
        <v>66.431924882629104</v>
      </c>
      <c r="I23" s="580">
        <v>53.754813863928113</v>
      </c>
      <c r="J23" s="580">
        <v>46.550632911392412</v>
      </c>
      <c r="K23" s="580">
        <v>53.065134099616778</v>
      </c>
      <c r="L23" s="581">
        <v>60.761957730812021</v>
      </c>
      <c r="M23" s="580">
        <v>36.702127659574472</v>
      </c>
      <c r="N23" s="580">
        <v>49.468218218218219</v>
      </c>
    </row>
    <row r="24" spans="1:14" ht="14">
      <c r="A24" s="240"/>
      <c r="B24" s="574" t="s">
        <v>116</v>
      </c>
      <c r="C24" s="583">
        <v>50</v>
      </c>
      <c r="D24" s="582">
        <v>66.47742103889324</v>
      </c>
      <c r="E24" s="582">
        <v>49.869366427171776</v>
      </c>
      <c r="F24" s="582">
        <v>25.158419846299051</v>
      </c>
      <c r="G24" s="582">
        <v>65.82369942196533</v>
      </c>
      <c r="H24" s="582">
        <v>79.368029739776944</v>
      </c>
      <c r="I24" s="582">
        <v>80.476485148514854</v>
      </c>
      <c r="J24" s="582">
        <v>69.515011547344116</v>
      </c>
      <c r="K24" s="582">
        <v>52.491408934707913</v>
      </c>
      <c r="L24" s="582">
        <v>76.966292134831463</v>
      </c>
      <c r="M24" s="582">
        <v>61.836283185840713</v>
      </c>
      <c r="N24" s="582">
        <v>44.033140772271203</v>
      </c>
    </row>
    <row r="25" spans="1:14" ht="14">
      <c r="A25" s="238">
        <v>2022</v>
      </c>
      <c r="B25" s="572" t="s">
        <v>105</v>
      </c>
      <c r="C25" s="578">
        <v>50</v>
      </c>
      <c r="D25" s="578">
        <v>73.467674223341717</v>
      </c>
      <c r="E25" s="578">
        <v>55.75721511454924</v>
      </c>
      <c r="F25" s="578">
        <v>35.274996749447411</v>
      </c>
      <c r="G25" s="578">
        <v>61.218130311614722</v>
      </c>
      <c r="H25" s="578">
        <v>38.535353535353543</v>
      </c>
      <c r="I25" s="578">
        <v>50.698438783894836</v>
      </c>
      <c r="J25" s="578">
        <v>73.22064056939503</v>
      </c>
      <c r="K25" s="578">
        <v>52.845528455284558</v>
      </c>
      <c r="L25" s="578">
        <v>69.752475247524757</v>
      </c>
      <c r="M25" s="578">
        <v>62.888735314443693</v>
      </c>
      <c r="N25" s="578">
        <v>49.471717562169822</v>
      </c>
    </row>
    <row r="26" spans="1:14" ht="14">
      <c r="A26" s="239"/>
      <c r="B26" s="576" t="s">
        <v>106</v>
      </c>
      <c r="C26" s="580">
        <v>50</v>
      </c>
      <c r="D26" s="580">
        <v>62.045564711585072</v>
      </c>
      <c r="E26" s="580">
        <v>44.555353901996376</v>
      </c>
      <c r="F26" s="580">
        <v>32.80551653684077</v>
      </c>
      <c r="G26" s="580">
        <v>42.89867109634551</v>
      </c>
      <c r="H26" s="580">
        <v>53.806297329613393</v>
      </c>
      <c r="I26" s="580">
        <v>38.629737609329453</v>
      </c>
      <c r="J26" s="580">
        <v>51.40124555160142</v>
      </c>
      <c r="K26" s="580">
        <v>30.339805825242731</v>
      </c>
      <c r="L26" s="580">
        <v>37.08827404479581</v>
      </c>
      <c r="M26" s="580">
        <v>42.178542178542173</v>
      </c>
      <c r="N26" s="580">
        <v>38.215703855514278</v>
      </c>
    </row>
    <row r="27" spans="1:14" ht="14">
      <c r="A27" s="239"/>
      <c r="B27" s="576" t="s">
        <v>107</v>
      </c>
      <c r="C27" s="580">
        <v>50</v>
      </c>
      <c r="D27" s="580">
        <v>73.958868894601551</v>
      </c>
      <c r="E27" s="580">
        <v>33.91517599538372</v>
      </c>
      <c r="F27" s="580">
        <v>27.710522814952789</v>
      </c>
      <c r="G27" s="580">
        <v>14.53819840364881</v>
      </c>
      <c r="H27" s="580">
        <v>48.166666666666657</v>
      </c>
      <c r="I27" s="580">
        <v>48.385885885885891</v>
      </c>
      <c r="J27" s="580">
        <v>82.33985765124558</v>
      </c>
      <c r="K27" s="580">
        <v>48.983050847457633</v>
      </c>
      <c r="L27" s="580">
        <v>15.62079181255049</v>
      </c>
      <c r="M27" s="580">
        <v>51.51175811870101</v>
      </c>
      <c r="N27" s="580">
        <v>28.780828664013359</v>
      </c>
    </row>
    <row r="28" spans="1:14" ht="14">
      <c r="A28" s="239"/>
      <c r="B28" s="576" t="s">
        <v>108</v>
      </c>
      <c r="C28" s="580">
        <v>50</v>
      </c>
      <c r="D28" s="580">
        <v>53.071392655708557</v>
      </c>
      <c r="E28" s="580">
        <v>45.830225195435403</v>
      </c>
      <c r="F28" s="580">
        <v>53.491481074460097</v>
      </c>
      <c r="G28" s="580">
        <v>57.532773840649362</v>
      </c>
      <c r="H28" s="580">
        <v>64.706940620092027</v>
      </c>
      <c r="I28" s="580">
        <v>43.861329204726268</v>
      </c>
      <c r="J28" s="580">
        <v>45.656803161988982</v>
      </c>
      <c r="K28" s="580">
        <v>51.779964269582052</v>
      </c>
      <c r="L28" s="580">
        <v>43.946318034199209</v>
      </c>
      <c r="M28" s="580">
        <v>50.583238318372423</v>
      </c>
      <c r="N28" s="580">
        <v>78.204926296957382</v>
      </c>
    </row>
    <row r="29" spans="1:14" ht="14">
      <c r="A29" s="239"/>
      <c r="B29" s="576" t="s">
        <v>109</v>
      </c>
      <c r="C29" s="580">
        <v>50</v>
      </c>
      <c r="D29" s="580">
        <v>48.995909259947929</v>
      </c>
      <c r="E29" s="580">
        <v>55.19171564511614</v>
      </c>
      <c r="F29" s="580">
        <v>57.093777834330069</v>
      </c>
      <c r="G29" s="580">
        <v>47.700718993409232</v>
      </c>
      <c r="H29" s="580">
        <v>92.580340264650289</v>
      </c>
      <c r="I29" s="580">
        <v>64.151651651651648</v>
      </c>
      <c r="J29" s="580">
        <v>49.466192170818509</v>
      </c>
      <c r="K29" s="580">
        <v>49.004975124378113</v>
      </c>
      <c r="L29" s="580">
        <v>65.364238410596002</v>
      </c>
      <c r="M29" s="580">
        <v>58.126036484245439</v>
      </c>
      <c r="N29" s="580">
        <v>47.08119262484378</v>
      </c>
    </row>
    <row r="30" spans="1:14" ht="14">
      <c r="A30" s="239"/>
      <c r="B30" s="576" t="s">
        <v>110</v>
      </c>
      <c r="C30" s="580">
        <v>50</v>
      </c>
      <c r="D30" s="580">
        <v>70.368932038834942</v>
      </c>
      <c r="E30" s="580">
        <v>55.095447870778273</v>
      </c>
      <c r="F30" s="580">
        <v>59.514118544899517</v>
      </c>
      <c r="G30" s="580">
        <v>40.087232355273599</v>
      </c>
      <c r="H30" s="580">
        <v>90.003974562798106</v>
      </c>
      <c r="I30" s="580">
        <v>51.327433628318587</v>
      </c>
      <c r="J30" s="580">
        <v>55.204626334519567</v>
      </c>
      <c r="K30" s="580">
        <v>50.718685831622167</v>
      </c>
      <c r="L30" s="580">
        <v>55.494687915006672</v>
      </c>
      <c r="M30" s="580">
        <v>72.20708446866486</v>
      </c>
      <c r="N30" s="580">
        <v>67.155584160812822</v>
      </c>
    </row>
    <row r="31" spans="1:14" ht="14">
      <c r="A31" s="239"/>
      <c r="B31" s="576" t="s">
        <v>117</v>
      </c>
      <c r="C31" s="580">
        <v>50</v>
      </c>
      <c r="D31" s="580">
        <v>78.805443548387089</v>
      </c>
      <c r="E31" s="580">
        <v>51.843025103272957</v>
      </c>
      <c r="F31" s="580">
        <v>51.041363239149433</v>
      </c>
      <c r="G31" s="580">
        <v>54.178027265437059</v>
      </c>
      <c r="H31" s="580">
        <v>84.188948306595364</v>
      </c>
      <c r="I31" s="580">
        <v>55.780141843971641</v>
      </c>
      <c r="J31" s="580">
        <v>82.725947521865891</v>
      </c>
      <c r="K31" s="580">
        <v>49.895397489539747</v>
      </c>
      <c r="L31" s="580">
        <v>66.5695364238411</v>
      </c>
      <c r="M31" s="580">
        <v>50.131752305665351</v>
      </c>
      <c r="N31" s="580">
        <v>46.75186950570356</v>
      </c>
    </row>
    <row r="32" spans="1:14" ht="14">
      <c r="A32" s="239"/>
      <c r="B32" s="576" t="s">
        <v>112</v>
      </c>
      <c r="C32" s="580">
        <v>50</v>
      </c>
      <c r="D32" s="580">
        <v>53.013878236467207</v>
      </c>
      <c r="E32" s="580">
        <v>56.296268345298166</v>
      </c>
      <c r="F32" s="580">
        <v>42.958407887118291</v>
      </c>
      <c r="G32" s="580">
        <v>45.09387671571681</v>
      </c>
      <c r="H32" s="580">
        <v>54.167366982375817</v>
      </c>
      <c r="I32" s="580">
        <v>43.302096139286462</v>
      </c>
      <c r="J32" s="580">
        <v>71.255168983714441</v>
      </c>
      <c r="K32" s="580">
        <v>47.625367129623342</v>
      </c>
      <c r="L32" s="580">
        <v>57.215606945112199</v>
      </c>
      <c r="M32" s="580">
        <v>50</v>
      </c>
      <c r="N32" s="580">
        <v>26.51158427844069</v>
      </c>
    </row>
    <row r="33" spans="1:14" ht="14">
      <c r="A33" s="239"/>
      <c r="B33" s="576" t="s">
        <v>113</v>
      </c>
      <c r="C33" s="580">
        <v>50</v>
      </c>
      <c r="D33" s="580">
        <v>37.538363171355478</v>
      </c>
      <c r="E33" s="580">
        <v>40.044247787610622</v>
      </c>
      <c r="F33" s="580">
        <v>65.829223181257703</v>
      </c>
      <c r="G33" s="580">
        <v>45.102719907407398</v>
      </c>
      <c r="H33" s="580">
        <v>79.091784338896019</v>
      </c>
      <c r="I33" s="580">
        <v>45.417956656346753</v>
      </c>
      <c r="J33" s="580">
        <v>69.105871886120994</v>
      </c>
      <c r="K33" s="580">
        <v>53.108808290155437</v>
      </c>
      <c r="L33" s="580">
        <v>49.213735558408267</v>
      </c>
      <c r="M33" s="580">
        <v>29.278273809523821</v>
      </c>
      <c r="N33" s="580">
        <v>31.878204211470621</v>
      </c>
    </row>
    <row r="34" spans="1:14" ht="14">
      <c r="A34" s="239"/>
      <c r="B34" s="576" t="s">
        <v>114</v>
      </c>
      <c r="C34" s="580">
        <v>50</v>
      </c>
      <c r="D34" s="580">
        <v>13.189710610932471</v>
      </c>
      <c r="E34" s="580">
        <v>37.652811735941313</v>
      </c>
      <c r="F34" s="580">
        <v>48.068767040290822</v>
      </c>
      <c r="G34" s="580">
        <v>46.805717619603278</v>
      </c>
      <c r="H34" s="580">
        <v>68.515562649640856</v>
      </c>
      <c r="I34" s="580">
        <v>48.490888382687928</v>
      </c>
      <c r="J34" s="580">
        <v>51.8546845124283</v>
      </c>
      <c r="K34" s="580">
        <v>56.39412997903564</v>
      </c>
      <c r="L34" s="580">
        <v>45.051428941027353</v>
      </c>
      <c r="M34" s="580">
        <v>63.30304935920293</v>
      </c>
      <c r="N34" s="580">
        <v>44.915018748962467</v>
      </c>
    </row>
    <row r="35" spans="1:14" ht="14">
      <c r="A35" s="239"/>
      <c r="B35" s="576" t="s">
        <v>115</v>
      </c>
      <c r="C35" s="580">
        <v>50</v>
      </c>
      <c r="D35" s="580">
        <v>62.873134328358198</v>
      </c>
      <c r="E35" s="580">
        <v>47.471162377994673</v>
      </c>
      <c r="F35" s="580">
        <v>45.227689271112382</v>
      </c>
      <c r="G35" s="580">
        <v>58.418089357065021</v>
      </c>
      <c r="H35" s="580">
        <v>50</v>
      </c>
      <c r="I35" s="580">
        <v>68.168604651162781</v>
      </c>
      <c r="J35" s="580">
        <v>56.202290076335878</v>
      </c>
      <c r="K35" s="580">
        <v>49.823008849557517</v>
      </c>
      <c r="L35" s="580">
        <v>48.612424209464741</v>
      </c>
      <c r="M35" s="580">
        <v>53.815681015438408</v>
      </c>
      <c r="N35" s="580">
        <v>73.95691549345301</v>
      </c>
    </row>
    <row r="36" spans="1:14" ht="14">
      <c r="A36" s="240"/>
      <c r="B36" s="577" t="s">
        <v>116</v>
      </c>
      <c r="C36" s="582">
        <v>50</v>
      </c>
      <c r="D36" s="582">
        <v>53.534540576794093</v>
      </c>
      <c r="E36" s="582">
        <v>50.723744995380343</v>
      </c>
      <c r="F36" s="582">
        <v>29.833333333333329</v>
      </c>
      <c r="G36" s="582">
        <v>39.050547472626363</v>
      </c>
      <c r="H36" s="582">
        <v>70.649558941459503</v>
      </c>
      <c r="I36" s="582">
        <v>56.734816596512317</v>
      </c>
      <c r="J36" s="582">
        <v>48.740458015267173</v>
      </c>
      <c r="K36" s="582">
        <v>49.21602787456446</v>
      </c>
      <c r="L36" s="582">
        <v>62.101368573031991</v>
      </c>
      <c r="M36" s="582">
        <v>47.868852459016388</v>
      </c>
      <c r="N36" s="582">
        <v>64.619654718079147</v>
      </c>
    </row>
    <row r="37" spans="1:14" ht="14">
      <c r="A37" s="238">
        <v>2023</v>
      </c>
      <c r="B37" s="575" t="s">
        <v>105</v>
      </c>
      <c r="C37" s="578">
        <v>50</v>
      </c>
      <c r="D37" s="578">
        <v>46.694681384846973</v>
      </c>
      <c r="E37" s="578">
        <v>51.503886448124362</v>
      </c>
      <c r="F37" s="578">
        <v>45.460797799174699</v>
      </c>
      <c r="G37" s="578">
        <v>47.659380692167581</v>
      </c>
      <c r="H37" s="578">
        <v>17.722602739726039</v>
      </c>
      <c r="I37" s="578">
        <v>59.450277949351452</v>
      </c>
      <c r="J37" s="578">
        <v>59.612432847275507</v>
      </c>
      <c r="K37" s="578">
        <v>51.883561643835613</v>
      </c>
      <c r="L37" s="578">
        <v>59.912812100069672</v>
      </c>
      <c r="M37" s="578">
        <v>66.41044325933359</v>
      </c>
      <c r="N37" s="578">
        <v>57.992207552490058</v>
      </c>
    </row>
    <row r="38" spans="1:14" ht="14">
      <c r="A38" s="239"/>
      <c r="B38" s="576" t="s">
        <v>106</v>
      </c>
      <c r="C38" s="580">
        <v>50</v>
      </c>
      <c r="D38" s="580">
        <v>74.798050139275773</v>
      </c>
      <c r="E38" s="580">
        <v>57.509213759213743</v>
      </c>
      <c r="F38" s="580">
        <v>47.441690962099131</v>
      </c>
      <c r="G38" s="580">
        <v>49.095337508698677</v>
      </c>
      <c r="H38" s="580">
        <v>12.08749040675364</v>
      </c>
      <c r="I38" s="580">
        <v>47.126081582200243</v>
      </c>
      <c r="J38" s="580">
        <v>47.122026093630083</v>
      </c>
      <c r="K38" s="580">
        <v>52.256944444444443</v>
      </c>
      <c r="L38" s="580">
        <v>31.788619166276419</v>
      </c>
      <c r="M38" s="580">
        <v>49.610739618015252</v>
      </c>
      <c r="N38" s="580">
        <v>69.281026042915229</v>
      </c>
    </row>
    <row r="39" spans="1:14" ht="14">
      <c r="A39" s="239"/>
      <c r="B39" s="576" t="s">
        <v>107</v>
      </c>
      <c r="C39" s="580">
        <v>50</v>
      </c>
      <c r="D39" s="580">
        <v>32.193928750627187</v>
      </c>
      <c r="E39" s="580">
        <v>62.761876659781663</v>
      </c>
      <c r="F39" s="580">
        <v>54.535511156482428</v>
      </c>
      <c r="G39" s="580">
        <v>56.133074479350512</v>
      </c>
      <c r="H39" s="580">
        <v>82.957012592270942</v>
      </c>
      <c r="I39" s="580">
        <v>59.666080843585242</v>
      </c>
      <c r="J39" s="580">
        <v>55.506523407521108</v>
      </c>
      <c r="K39" s="580">
        <v>49.897540983606561</v>
      </c>
      <c r="L39" s="580">
        <v>56.673451659635482</v>
      </c>
      <c r="M39" s="580">
        <v>47.268366296667828</v>
      </c>
      <c r="N39" s="580">
        <v>63.596018274860029</v>
      </c>
    </row>
    <row r="40" spans="1:14" ht="14">
      <c r="A40" s="239"/>
      <c r="B40" s="576" t="s">
        <v>108</v>
      </c>
      <c r="C40" s="580">
        <v>50</v>
      </c>
      <c r="D40" s="580">
        <v>33.154730789336128</v>
      </c>
      <c r="E40" s="580">
        <v>52.640487474610687</v>
      </c>
      <c r="F40" s="580">
        <v>24.535211267605629</v>
      </c>
      <c r="G40" s="580">
        <v>66.996117190257678</v>
      </c>
      <c r="H40" s="580">
        <v>50.425436632333188</v>
      </c>
      <c r="I40" s="580">
        <v>52.637818612922352</v>
      </c>
      <c r="J40" s="580">
        <v>53.568687643898699</v>
      </c>
      <c r="K40" s="580">
        <v>48.787313432835823</v>
      </c>
      <c r="L40" s="580">
        <v>44.531556252450017</v>
      </c>
      <c r="M40" s="580">
        <v>58.852232898436739</v>
      </c>
      <c r="N40" s="580">
        <v>42.803896742427881</v>
      </c>
    </row>
    <row r="41" spans="1:14" ht="14">
      <c r="A41" s="239"/>
      <c r="B41" s="576" t="s">
        <v>109</v>
      </c>
      <c r="C41" s="580">
        <v>50</v>
      </c>
      <c r="D41" s="580">
        <v>69.289105776839889</v>
      </c>
      <c r="E41" s="580">
        <v>48.905529953917053</v>
      </c>
      <c r="F41" s="580">
        <v>48.845671267252193</v>
      </c>
      <c r="G41" s="580">
        <v>41.679845369882273</v>
      </c>
      <c r="H41" s="580">
        <v>20.029027576197389</v>
      </c>
      <c r="I41" s="580">
        <v>50.419916016796641</v>
      </c>
      <c r="J41" s="580">
        <v>51.132003069838831</v>
      </c>
      <c r="K41" s="580">
        <v>52.742230347349171</v>
      </c>
      <c r="L41" s="580">
        <v>80.666911457546703</v>
      </c>
      <c r="M41" s="580">
        <v>46.173364192600459</v>
      </c>
      <c r="N41" s="580">
        <v>46.369784259349977</v>
      </c>
    </row>
    <row r="42" spans="1:14" ht="14">
      <c r="A42" s="239"/>
      <c r="B42" s="576" t="s">
        <v>110</v>
      </c>
      <c r="C42" s="580">
        <v>50</v>
      </c>
      <c r="D42" s="580">
        <v>39.679342301554478</v>
      </c>
      <c r="E42" s="580">
        <v>71.004429435213353</v>
      </c>
      <c r="F42" s="580">
        <v>55.849998731598397</v>
      </c>
      <c r="G42" s="580">
        <v>29.648976495761971</v>
      </c>
      <c r="H42" s="580">
        <v>38.371490384140728</v>
      </c>
      <c r="I42" s="580">
        <v>41.852573270394657</v>
      </c>
      <c r="J42" s="580">
        <v>53.627584483330857</v>
      </c>
      <c r="K42" s="580">
        <v>47.874726136079062</v>
      </c>
      <c r="L42" s="580">
        <v>46.075158183585529</v>
      </c>
      <c r="M42" s="580">
        <v>49.484597539279513</v>
      </c>
      <c r="N42" s="580">
        <v>53.308071482974817</v>
      </c>
    </row>
    <row r="43" spans="1:14" ht="14">
      <c r="A43" s="239"/>
      <c r="B43" s="576" t="s">
        <v>117</v>
      </c>
      <c r="C43" s="580">
        <v>50</v>
      </c>
      <c r="D43" s="580">
        <v>89.931806484817287</v>
      </c>
      <c r="E43" s="580">
        <v>52.136507026096943</v>
      </c>
      <c r="F43" s="580">
        <v>50.070049813200498</v>
      </c>
      <c r="G43" s="580">
        <v>25.708884688090748</v>
      </c>
      <c r="H43" s="580">
        <v>83.005038937242318</v>
      </c>
      <c r="I43" s="580">
        <v>44.841269841269842</v>
      </c>
      <c r="J43" s="580">
        <v>85.897927858787412</v>
      </c>
      <c r="K43" s="580">
        <v>49.240986717267553</v>
      </c>
      <c r="L43" s="580">
        <v>75.937616041589322</v>
      </c>
      <c r="M43" s="580">
        <v>50.324240669179567</v>
      </c>
      <c r="N43" s="580">
        <v>48.66728550590107</v>
      </c>
    </row>
    <row r="44" spans="1:14" ht="14">
      <c r="A44" s="239"/>
      <c r="B44" s="576" t="s">
        <v>112</v>
      </c>
      <c r="C44" s="580">
        <v>50</v>
      </c>
      <c r="D44" s="580">
        <v>91.767123287671239</v>
      </c>
      <c r="E44" s="580">
        <v>44.47353112274579</v>
      </c>
      <c r="F44" s="580">
        <v>65.775695783962533</v>
      </c>
      <c r="G44" s="580">
        <v>51.987337319732703</v>
      </c>
      <c r="H44" s="580">
        <v>17.77991350312351</v>
      </c>
      <c r="I44" s="580">
        <v>50.061425061425062</v>
      </c>
      <c r="J44" s="580">
        <v>70.52954719877205</v>
      </c>
      <c r="K44" s="580">
        <v>52.595155709342563</v>
      </c>
      <c r="L44" s="580">
        <v>49.522560747970893</v>
      </c>
      <c r="M44" s="580">
        <v>43.832967527716818</v>
      </c>
      <c r="N44" s="580">
        <v>54.400691272682387</v>
      </c>
    </row>
    <row r="45" spans="1:14" ht="14">
      <c r="A45" s="239"/>
      <c r="B45" s="576" t="s">
        <v>113</v>
      </c>
      <c r="C45" s="580">
        <v>50</v>
      </c>
      <c r="D45" s="580">
        <v>55.549375849709563</v>
      </c>
      <c r="E45" s="580">
        <v>66.630316248636831</v>
      </c>
      <c r="F45" s="580">
        <v>52.345938375350137</v>
      </c>
      <c r="G45" s="580">
        <v>65.044000558737253</v>
      </c>
      <c r="H45" s="580">
        <v>48.749431559799909</v>
      </c>
      <c r="I45" s="580">
        <v>48.446069469835457</v>
      </c>
      <c r="J45" s="580">
        <v>50</v>
      </c>
      <c r="K45" s="580">
        <v>47.451669595782072</v>
      </c>
      <c r="L45" s="580">
        <v>49.744897959183668</v>
      </c>
      <c r="M45" s="580">
        <v>50</v>
      </c>
      <c r="N45" s="580">
        <v>34.498195885164172</v>
      </c>
    </row>
    <row r="46" spans="1:14" ht="14">
      <c r="A46" s="239"/>
      <c r="B46" s="576" t="s">
        <v>114</v>
      </c>
      <c r="C46" s="580">
        <v>50</v>
      </c>
      <c r="D46" s="580">
        <v>29.062650848090762</v>
      </c>
      <c r="E46" s="580">
        <v>50.433750254328743</v>
      </c>
      <c r="F46" s="580">
        <v>64.59912555867615</v>
      </c>
      <c r="G46" s="580">
        <v>57.550852164800467</v>
      </c>
      <c r="H46" s="580">
        <v>52.181074492290598</v>
      </c>
      <c r="I46" s="580">
        <v>48.478899393231991</v>
      </c>
      <c r="J46" s="580">
        <v>49.24327403754841</v>
      </c>
      <c r="K46" s="580">
        <v>62.444322465114638</v>
      </c>
      <c r="L46" s="580">
        <v>49.658965476540082</v>
      </c>
      <c r="M46" s="580">
        <v>52.557509033409183</v>
      </c>
      <c r="N46" s="580">
        <v>49.235366334252838</v>
      </c>
    </row>
    <row r="47" spans="1:14" ht="14">
      <c r="A47" s="239"/>
      <c r="B47" s="576" t="s">
        <v>115</v>
      </c>
      <c r="C47" s="580">
        <v>50</v>
      </c>
      <c r="D47" s="580">
        <v>54.380976996639959</v>
      </c>
      <c r="E47" s="580">
        <v>55.477724852899968</v>
      </c>
      <c r="F47" s="580">
        <v>42.757982415548348</v>
      </c>
      <c r="G47" s="580">
        <v>49.844805550483841</v>
      </c>
      <c r="H47" s="580">
        <v>52.166596550273447</v>
      </c>
      <c r="I47" s="580">
        <v>49.16820702402957</v>
      </c>
      <c r="J47" s="580">
        <v>67.037605525709893</v>
      </c>
      <c r="K47" s="580">
        <v>52.048417132216017</v>
      </c>
      <c r="L47" s="580">
        <v>49.459384224203632</v>
      </c>
      <c r="M47" s="580">
        <v>51.044952134794563</v>
      </c>
      <c r="N47" s="580">
        <v>43.85512408372697</v>
      </c>
    </row>
    <row r="48" spans="1:14" ht="14">
      <c r="A48" s="240"/>
      <c r="B48" s="577" t="s">
        <v>116</v>
      </c>
      <c r="C48" s="582">
        <v>50</v>
      </c>
      <c r="D48" s="582">
        <v>12.71299699298363</v>
      </c>
      <c r="E48" s="582">
        <v>34.454136184580769</v>
      </c>
      <c r="F48" s="582">
        <v>56.599856836077308</v>
      </c>
      <c r="G48" s="582">
        <v>56.785370548604433</v>
      </c>
      <c r="H48" s="582">
        <v>60.133630289532299</v>
      </c>
      <c r="I48" s="582">
        <v>72.34567901234567</v>
      </c>
      <c r="J48" s="582">
        <v>30.364058869093711</v>
      </c>
      <c r="K48" s="582">
        <v>58.630393996247641</v>
      </c>
      <c r="L48" s="582">
        <v>60.617170791322948</v>
      </c>
      <c r="M48" s="582">
        <v>29.479647927697052</v>
      </c>
      <c r="N48" s="582">
        <v>51.017970216128496</v>
      </c>
    </row>
    <row r="49" spans="1:14" ht="14">
      <c r="A49" s="238">
        <v>2024</v>
      </c>
      <c r="B49" s="575" t="s">
        <v>105</v>
      </c>
      <c r="C49" s="578">
        <v>50</v>
      </c>
      <c r="D49" s="578">
        <v>58.524372586872609</v>
      </c>
      <c r="E49" s="578">
        <v>56.413793103448278</v>
      </c>
      <c r="F49" s="578">
        <v>53.743095545892572</v>
      </c>
      <c r="G49" s="578">
        <v>71.889148031280001</v>
      </c>
      <c r="H49" s="578">
        <v>20.081595648232099</v>
      </c>
      <c r="I49" s="578">
        <v>72.497089639115245</v>
      </c>
      <c r="J49" s="578">
        <v>57.408109132247063</v>
      </c>
      <c r="K49" s="578">
        <v>43.039772727272727</v>
      </c>
      <c r="L49" s="578">
        <v>90.489381348107116</v>
      </c>
      <c r="M49" s="578">
        <v>86.002048480710158</v>
      </c>
      <c r="N49" s="578">
        <v>54.602724177071522</v>
      </c>
    </row>
    <row r="50" spans="1:14" ht="14">
      <c r="A50" s="239"/>
      <c r="B50" s="576" t="s">
        <v>106</v>
      </c>
      <c r="C50" s="580">
        <v>50</v>
      </c>
      <c r="D50" s="580">
        <v>66.262705238467575</v>
      </c>
      <c r="E50" s="580">
        <v>44.044791313199873</v>
      </c>
      <c r="F50" s="580">
        <v>52.114300358790373</v>
      </c>
      <c r="G50" s="580">
        <v>22.613714679531359</v>
      </c>
      <c r="H50" s="580">
        <v>83.950617283950606</v>
      </c>
      <c r="I50" s="580">
        <v>54.828199052132703</v>
      </c>
      <c r="J50" s="580">
        <v>50.871542250852599</v>
      </c>
      <c r="K50" s="580">
        <v>44.822006472491907</v>
      </c>
      <c r="L50" s="580">
        <v>30.07716049382714</v>
      </c>
      <c r="M50" s="580">
        <v>22.526949904882681</v>
      </c>
      <c r="N50" s="580">
        <v>53.512654636250147</v>
      </c>
    </row>
    <row r="51" spans="1:14" ht="14">
      <c r="A51" s="239"/>
      <c r="B51" s="576" t="s">
        <v>107</v>
      </c>
      <c r="C51" s="580">
        <v>50</v>
      </c>
      <c r="D51" s="580">
        <v>48.779581216701771</v>
      </c>
      <c r="E51" s="580">
        <v>58.38741077222582</v>
      </c>
      <c r="F51" s="580">
        <v>68.196572318878211</v>
      </c>
      <c r="G51" s="580">
        <v>69.270373639305689</v>
      </c>
      <c r="H51" s="580">
        <v>84.845605700712582</v>
      </c>
      <c r="I51" s="580">
        <v>60.783752860411923</v>
      </c>
      <c r="J51" s="580">
        <v>55.229253505115572</v>
      </c>
      <c r="K51" s="580">
        <v>45.967741935483872</v>
      </c>
      <c r="L51" s="580">
        <v>12.54340277777778</v>
      </c>
      <c r="M51" s="580">
        <v>29.767600820232381</v>
      </c>
      <c r="N51" s="580">
        <v>54.878308002975857</v>
      </c>
    </row>
    <row r="52" spans="1:14" ht="14">
      <c r="A52" s="239"/>
      <c r="B52" s="576" t="s">
        <v>108</v>
      </c>
      <c r="C52" s="580">
        <v>50</v>
      </c>
      <c r="D52" s="580">
        <v>34.800876872488097</v>
      </c>
      <c r="E52" s="580">
        <v>37.372708757637483</v>
      </c>
      <c r="F52" s="580">
        <v>57.009646302250808</v>
      </c>
      <c r="G52" s="580">
        <v>47.864978902953588</v>
      </c>
      <c r="H52" s="580">
        <v>50.131233595800524</v>
      </c>
      <c r="I52" s="580">
        <v>62.984261501210668</v>
      </c>
      <c r="J52" s="580">
        <v>61.025029797377833</v>
      </c>
      <c r="K52" s="580">
        <v>56.089743589743577</v>
      </c>
      <c r="L52" s="580">
        <v>74.570389953734278</v>
      </c>
      <c r="M52" s="580">
        <v>54.332992152848853</v>
      </c>
      <c r="N52" s="580">
        <v>61.488600804649082</v>
      </c>
    </row>
    <row r="53" spans="1:14" ht="14">
      <c r="A53" s="239"/>
      <c r="B53" s="576" t="s">
        <v>109</v>
      </c>
      <c r="C53" s="580">
        <v>50</v>
      </c>
      <c r="D53" s="580">
        <v>38.766891891891873</v>
      </c>
      <c r="E53" s="580">
        <v>52.045454545454547</v>
      </c>
      <c r="F53" s="580">
        <v>49.768242616871937</v>
      </c>
      <c r="G53" s="580">
        <v>34.676079734219272</v>
      </c>
      <c r="H53" s="580">
        <v>17.629046369203859</v>
      </c>
      <c r="I53" s="580">
        <v>48.695652173913018</v>
      </c>
      <c r="J53" s="580">
        <v>50.871542250852599</v>
      </c>
      <c r="K53" s="580">
        <v>46.540880503144663</v>
      </c>
      <c r="L53" s="580">
        <v>48.212753788961969</v>
      </c>
      <c r="M53" s="580">
        <v>74.145962732919273</v>
      </c>
      <c r="N53" s="580">
        <v>55.172228779912011</v>
      </c>
    </row>
    <row r="54" spans="1:14" ht="14">
      <c r="A54" s="239"/>
      <c r="B54" s="576" t="s">
        <v>110</v>
      </c>
      <c r="C54" s="580">
        <v>50</v>
      </c>
      <c r="D54" s="580">
        <v>38.669628855201232</v>
      </c>
      <c r="E54" s="580">
        <v>45.92723760463619</v>
      </c>
      <c r="F54" s="580">
        <v>48.269681511098852</v>
      </c>
      <c r="G54" s="580">
        <v>36.563307493540037</v>
      </c>
      <c r="H54" s="580">
        <v>50.831146106736661</v>
      </c>
      <c r="I54" s="580">
        <v>56.746031746031761</v>
      </c>
      <c r="J54" s="580">
        <v>51.345206517620312</v>
      </c>
      <c r="K54" s="580">
        <v>48.606811145510839</v>
      </c>
      <c r="L54" s="580">
        <v>41.20346093340325</v>
      </c>
      <c r="M54" s="580">
        <v>56.060606060606062</v>
      </c>
      <c r="N54" s="580">
        <v>55.728051391862962</v>
      </c>
    </row>
    <row r="55" spans="1:14" ht="14">
      <c r="A55" s="239"/>
      <c r="B55" s="576" t="s">
        <v>117</v>
      </c>
      <c r="C55" s="580">
        <v>50</v>
      </c>
      <c r="D55" s="580">
        <v>51.188465250965251</v>
      </c>
      <c r="E55" s="580">
        <v>51.58620689655173</v>
      </c>
      <c r="F55" s="580">
        <v>49.616956077630221</v>
      </c>
      <c r="G55" s="580">
        <v>46.104452054794521</v>
      </c>
      <c r="H55" s="580">
        <v>47.594050743657043</v>
      </c>
      <c r="I55" s="580">
        <v>41.919191919191931</v>
      </c>
      <c r="J55" s="580">
        <v>54.098031337886702</v>
      </c>
      <c r="K55" s="580">
        <v>48.101265822784811</v>
      </c>
      <c r="L55" s="580">
        <v>66.404442387783433</v>
      </c>
      <c r="M55" s="580">
        <v>30.32258064516127</v>
      </c>
      <c r="N55" s="580">
        <v>60.39336929351402</v>
      </c>
    </row>
    <row r="56" spans="1:14" ht="14">
      <c r="A56" s="239"/>
      <c r="B56" s="576" t="s">
        <v>112</v>
      </c>
      <c r="C56" s="580">
        <v>50</v>
      </c>
      <c r="D56" s="580">
        <v>62.957317073170763</v>
      </c>
      <c r="E56" s="580">
        <v>38.324392552855777</v>
      </c>
      <c r="F56" s="580">
        <v>64.353910541459598</v>
      </c>
      <c r="G56" s="580">
        <v>45.423877970079197</v>
      </c>
      <c r="H56" s="580">
        <v>85.066162570888466</v>
      </c>
      <c r="I56" s="580">
        <v>39.657176060429968</v>
      </c>
      <c r="J56" s="580">
        <v>44.495765973826018</v>
      </c>
      <c r="K56" s="580">
        <v>51.371951219512191</v>
      </c>
      <c r="L56" s="580">
        <v>29.97437092264677</v>
      </c>
      <c r="M56" s="580">
        <v>76.051282051282058</v>
      </c>
      <c r="N56" s="580">
        <v>51.219375769101688</v>
      </c>
    </row>
    <row r="57" spans="1:14" ht="14">
      <c r="A57" s="239"/>
      <c r="B57" s="576" t="s">
        <v>113</v>
      </c>
      <c r="C57" s="580">
        <v>50</v>
      </c>
      <c r="D57" s="580">
        <v>55.730676328502412</v>
      </c>
      <c r="E57" s="580">
        <v>53.704287515762928</v>
      </c>
      <c r="F57" s="580">
        <v>50.652602822886628</v>
      </c>
      <c r="G57" s="580">
        <v>62.131098917395789</v>
      </c>
      <c r="H57" s="580">
        <v>42.71653543307086</v>
      </c>
      <c r="I57" s="580">
        <v>65.310187820147988</v>
      </c>
      <c r="J57" s="580">
        <v>71.112896745681013</v>
      </c>
      <c r="K57" s="580">
        <v>50.417827298050142</v>
      </c>
      <c r="L57" s="580">
        <v>57.553407934893187</v>
      </c>
      <c r="M57" s="580">
        <v>48.543538890610478</v>
      </c>
      <c r="N57" s="580">
        <v>53.50386208440613</v>
      </c>
    </row>
    <row r="58" spans="1:14" ht="14">
      <c r="A58" s="239"/>
      <c r="B58" s="576" t="s">
        <v>114</v>
      </c>
      <c r="C58" s="580">
        <v>50</v>
      </c>
      <c r="D58" s="580">
        <v>64.30984555984557</v>
      </c>
      <c r="E58" s="580">
        <v>49.463327370304107</v>
      </c>
      <c r="F58" s="580">
        <v>38.468369995901071</v>
      </c>
      <c r="G58" s="580">
        <v>46.820027063599447</v>
      </c>
      <c r="H58" s="580">
        <v>84.63035019455252</v>
      </c>
      <c r="I58" s="580">
        <v>51.238207547169807</v>
      </c>
      <c r="J58" s="580">
        <v>65.709120128565701</v>
      </c>
      <c r="K58" s="580">
        <v>50.977653631284923</v>
      </c>
      <c r="L58" s="580">
        <v>64.204831404126807</v>
      </c>
      <c r="M58" s="580">
        <v>51.95773772529521</v>
      </c>
      <c r="N58" s="580">
        <v>51.130886169818318</v>
      </c>
    </row>
    <row r="59" spans="1:14" ht="14">
      <c r="A59" s="239"/>
      <c r="B59" s="576" t="s">
        <v>115</v>
      </c>
      <c r="C59" s="580">
        <v>50</v>
      </c>
      <c r="D59" s="580">
        <v>41.348938223938212</v>
      </c>
      <c r="E59" s="580">
        <v>44.529431326903889</v>
      </c>
      <c r="F59" s="580">
        <v>33.698577470203752</v>
      </c>
      <c r="G59" s="580">
        <v>47.797072330654423</v>
      </c>
      <c r="H59" s="580">
        <v>48.228346456692911</v>
      </c>
      <c r="I59" s="580">
        <v>48.631950573698148</v>
      </c>
      <c r="J59" s="580">
        <v>55.020491803278681</v>
      </c>
      <c r="K59" s="580">
        <v>47.164179104477611</v>
      </c>
      <c r="L59" s="580">
        <v>66.967814793901738</v>
      </c>
      <c r="M59" s="580">
        <v>46.217452498240682</v>
      </c>
      <c r="N59" s="580">
        <v>47.380917050007433</v>
      </c>
    </row>
    <row r="60" spans="1:14" ht="14">
      <c r="A60" s="240"/>
      <c r="B60" s="577" t="s">
        <v>116</v>
      </c>
      <c r="C60" s="582">
        <v>50</v>
      </c>
      <c r="D60" s="582">
        <v>51.494871153365033</v>
      </c>
      <c r="E60" s="582">
        <v>44.829300629764667</v>
      </c>
      <c r="F60" s="582">
        <v>39.032047089601043</v>
      </c>
      <c r="G60" s="582">
        <v>52.611534276387367</v>
      </c>
      <c r="H60" s="582">
        <v>87.159533073929964</v>
      </c>
      <c r="I60" s="582">
        <v>37.142857142857132</v>
      </c>
      <c r="J60" s="582">
        <v>43.491361992768176</v>
      </c>
      <c r="K60" s="582">
        <v>51.067615658362989</v>
      </c>
      <c r="L60" s="582">
        <v>52.33509870004815</v>
      </c>
      <c r="M60" s="582">
        <v>11.982308001608351</v>
      </c>
      <c r="N60" s="582">
        <v>45.247356265953563</v>
      </c>
    </row>
    <row r="61" spans="1:14" ht="14">
      <c r="A61" s="238">
        <v>2025</v>
      </c>
      <c r="B61" s="575" t="s">
        <v>105</v>
      </c>
      <c r="C61" s="578">
        <v>50</v>
      </c>
      <c r="D61" s="578">
        <v>71.668795232013593</v>
      </c>
      <c r="E61" s="578">
        <v>57.360831656606308</v>
      </c>
      <c r="F61" s="578">
        <v>45.317626006561291</v>
      </c>
      <c r="G61" s="578">
        <v>81.968983117393009</v>
      </c>
      <c r="H61" s="578">
        <v>15.93235425011127</v>
      </c>
      <c r="I61" s="578">
        <v>65.958213256484171</v>
      </c>
      <c r="J61" s="578">
        <v>54.026416702172988</v>
      </c>
      <c r="K61" s="578">
        <v>43.650793650793652</v>
      </c>
      <c r="L61" s="578">
        <v>60.506590850348942</v>
      </c>
      <c r="M61" s="578">
        <v>81.646894626657371</v>
      </c>
      <c r="N61" s="578">
        <v>58.370187304890727</v>
      </c>
    </row>
    <row r="62" spans="1:14" ht="14">
      <c r="A62" s="239"/>
      <c r="B62" s="576" t="s">
        <v>106</v>
      </c>
      <c r="C62" s="580">
        <v>50</v>
      </c>
      <c r="D62" s="580">
        <v>50.816582914572862</v>
      </c>
      <c r="E62" s="580">
        <v>48.884408602150529</v>
      </c>
      <c r="F62" s="580">
        <v>39.34010152284263</v>
      </c>
      <c r="G62" s="580">
        <v>55.084470435347619</v>
      </c>
      <c r="H62" s="580">
        <v>10.99464763603925</v>
      </c>
      <c r="I62" s="580">
        <v>43.423137876386683</v>
      </c>
      <c r="J62" s="580">
        <v>52.375296912114017</v>
      </c>
      <c r="K62" s="580">
        <v>49.702380952380949</v>
      </c>
      <c r="L62" s="580">
        <v>47.884326489734597</v>
      </c>
      <c r="M62" s="580">
        <v>25.438288920056099</v>
      </c>
      <c r="N62" s="580">
        <v>47.059246476847868</v>
      </c>
    </row>
    <row r="63" spans="1:14" ht="14">
      <c r="A63" s="239"/>
      <c r="B63" s="576" t="s">
        <v>107</v>
      </c>
      <c r="C63" s="580">
        <v>50</v>
      </c>
      <c r="D63" s="580">
        <v>42.733448781137618</v>
      </c>
      <c r="E63" s="580">
        <v>47.638483965014579</v>
      </c>
      <c r="F63" s="580">
        <v>57.869044519656327</v>
      </c>
      <c r="G63" s="580">
        <v>83.436299883119062</v>
      </c>
      <c r="H63" s="580">
        <v>21.60658655985759</v>
      </c>
      <c r="I63" s="580">
        <v>61.978798586572452</v>
      </c>
      <c r="J63" s="580">
        <v>55.42801556420234</v>
      </c>
      <c r="K63" s="580">
        <v>49.696048632218847</v>
      </c>
      <c r="L63" s="580">
        <v>16.45509362107266</v>
      </c>
      <c r="M63" s="580">
        <v>15.03371677905594</v>
      </c>
      <c r="N63" s="580">
        <v>42.109766532208759</v>
      </c>
    </row>
    <row r="64" spans="1:14" ht="14">
      <c r="A64" s="239"/>
      <c r="B64" s="576" t="s">
        <v>108</v>
      </c>
      <c r="C64" s="580">
        <v>50</v>
      </c>
      <c r="D64" s="580">
        <v>37.385379521141132</v>
      </c>
      <c r="E64" s="580">
        <v>55.8094176650878</v>
      </c>
      <c r="F64" s="580">
        <v>56.343737332792848</v>
      </c>
      <c r="G64" s="580">
        <v>29.0210308056872</v>
      </c>
      <c r="H64" s="580">
        <v>80.6282722513089</v>
      </c>
      <c r="I64" s="580">
        <v>44.502801120448161</v>
      </c>
      <c r="J64" s="580">
        <v>58.034714445688678</v>
      </c>
      <c r="K64" s="580">
        <v>47.54601226993865</v>
      </c>
      <c r="L64" s="580">
        <v>72.011268985791304</v>
      </c>
      <c r="M64" s="580">
        <v>77.761982128350937</v>
      </c>
      <c r="N64" s="580">
        <v>40.695488721804487</v>
      </c>
    </row>
    <row r="65" spans="1:14" ht="14">
      <c r="A65" s="239"/>
      <c r="B65" s="576" t="s">
        <v>109</v>
      </c>
      <c r="C65" s="580">
        <v>50</v>
      </c>
      <c r="D65" s="580">
        <v>29.613310535315001</v>
      </c>
      <c r="E65" s="580">
        <v>48.190167477039452</v>
      </c>
      <c r="F65" s="580">
        <v>59.865861837692798</v>
      </c>
      <c r="G65" s="580">
        <v>25.622775800711739</v>
      </c>
      <c r="H65" s="580">
        <v>28.973077146060731</v>
      </c>
      <c r="I65" s="580">
        <v>47.466063348416263</v>
      </c>
      <c r="J65" s="580">
        <v>57.629326386304427</v>
      </c>
      <c r="K65" s="580">
        <v>85.509554140127392</v>
      </c>
      <c r="L65" s="580">
        <v>62.674094707520887</v>
      </c>
      <c r="M65" s="580">
        <v>54.900124843945058</v>
      </c>
      <c r="N65" s="580">
        <v>41.362123228687459</v>
      </c>
    </row>
    <row r="66" spans="1:14" ht="14">
      <c r="A66" s="239"/>
      <c r="B66" s="576" t="s">
        <v>110</v>
      </c>
      <c r="C66" s="584">
        <v>50</v>
      </c>
      <c r="D66" s="585">
        <v>52.141840300245903</v>
      </c>
      <c r="E66" s="585">
        <v>43.25938566552901</v>
      </c>
      <c r="F66" s="585">
        <v>41.703109815354708</v>
      </c>
      <c r="G66" s="585">
        <v>29.621507472384661</v>
      </c>
      <c r="H66" s="585">
        <v>89.208339903861514</v>
      </c>
      <c r="I66" s="585">
        <v>46.832770270270267</v>
      </c>
      <c r="J66" s="585">
        <v>56.574492099322811</v>
      </c>
      <c r="K66" s="585">
        <v>70.727848101265835</v>
      </c>
      <c r="L66" s="585">
        <v>59.044635865309317</v>
      </c>
      <c r="M66" s="585">
        <v>21.77449867574726</v>
      </c>
      <c r="N66" s="585">
        <v>58.600012300770089</v>
      </c>
    </row>
    <row r="67" spans="1:14" ht="14">
      <c r="A67" s="239"/>
      <c r="B67" s="576" t="s">
        <v>117</v>
      </c>
      <c r="C67" s="584">
        <v>50</v>
      </c>
      <c r="D67" s="585">
        <v>70.786360473208063</v>
      </c>
      <c r="E67" s="585">
        <v>48.160046728971949</v>
      </c>
      <c r="F67" s="585">
        <v>45.04914715235617</v>
      </c>
      <c r="G67" s="585">
        <v>41.839234023602756</v>
      </c>
      <c r="H67" s="585">
        <v>72.223360100175043</v>
      </c>
      <c r="I67" s="585">
        <v>55.9656652360515</v>
      </c>
      <c r="J67" s="585">
        <v>55.070842654735273</v>
      </c>
      <c r="K67" s="585">
        <v>44.254658385093173</v>
      </c>
      <c r="L67" s="585">
        <v>62.870699881376012</v>
      </c>
      <c r="M67" s="585">
        <v>78.866565579984851</v>
      </c>
      <c r="N67" s="585">
        <v>55.811979657087313</v>
      </c>
    </row>
    <row r="68" spans="1:14" ht="14">
      <c r="A68" s="239"/>
      <c r="B68" s="576" t="s">
        <v>112</v>
      </c>
      <c r="C68" s="584">
        <v>50</v>
      </c>
      <c r="D68" s="585">
        <v>53.284266074156371</v>
      </c>
      <c r="E68" s="585">
        <v>43.427430852580557</v>
      </c>
      <c r="F68" s="585">
        <v>39.456120420335132</v>
      </c>
      <c r="G68" s="585">
        <v>47.557997557997552</v>
      </c>
      <c r="H68" s="585">
        <v>84.738875737526882</v>
      </c>
      <c r="I68" s="585">
        <v>53.480589022757712</v>
      </c>
      <c r="J68" s="585">
        <v>49.7191011235955</v>
      </c>
      <c r="K68" s="585">
        <v>47.345132743362839</v>
      </c>
      <c r="L68" s="585">
        <v>64.78707782672538</v>
      </c>
      <c r="M68" s="585">
        <v>19.83684838838041</v>
      </c>
      <c r="N68" s="585">
        <v>35.798100198382457</v>
      </c>
    </row>
    <row r="69" spans="1:14" ht="14">
      <c r="A69" s="239"/>
      <c r="B69" s="576" t="s">
        <v>113</v>
      </c>
      <c r="C69" s="584">
        <v>50</v>
      </c>
      <c r="D69" s="585">
        <v>40.745554035567729</v>
      </c>
      <c r="E69" s="585">
        <v>49.929138321995467</v>
      </c>
      <c r="F69" s="585">
        <v>60.96624751819985</v>
      </c>
      <c r="G69" s="585">
        <v>44.415718717683561</v>
      </c>
      <c r="H69" s="585">
        <v>6.1733666984480067</v>
      </c>
      <c r="I69" s="585">
        <v>73.565804274465705</v>
      </c>
      <c r="J69" s="585">
        <v>52.912979351032448</v>
      </c>
      <c r="K69" s="585">
        <v>50</v>
      </c>
      <c r="L69" s="585">
        <v>54.697986577181183</v>
      </c>
      <c r="M69" s="585">
        <v>74.91046557898926</v>
      </c>
      <c r="N69" s="585">
        <v>50.906147416525691</v>
      </c>
    </row>
    <row r="70" spans="1:14" ht="14">
      <c r="A70" s="239"/>
      <c r="B70" s="576" t="s">
        <v>114</v>
      </c>
      <c r="C70" s="584">
        <v>50</v>
      </c>
      <c r="D70" s="585">
        <v>78.079789565979837</v>
      </c>
      <c r="E70" s="585">
        <v>52.10336538461538</v>
      </c>
      <c r="F70" s="585">
        <v>47.118301314459053</v>
      </c>
      <c r="G70" s="585">
        <v>42.861339600470053</v>
      </c>
      <c r="H70" s="585">
        <v>75.538194643738152</v>
      </c>
      <c r="I70" s="585">
        <v>40.602055800293691</v>
      </c>
      <c r="J70" s="585">
        <v>54.931658662726257</v>
      </c>
      <c r="K70" s="585">
        <v>59.38461538461538</v>
      </c>
      <c r="L70" s="585">
        <v>48.290013679890592</v>
      </c>
      <c r="M70" s="585">
        <v>18.3484349258649</v>
      </c>
      <c r="N70" s="585">
        <v>52.158980769666421</v>
      </c>
    </row>
    <row r="71" spans="1:14" ht="14">
      <c r="A71" s="239"/>
      <c r="B71" s="576" t="s">
        <v>115</v>
      </c>
      <c r="C71" s="584">
        <v>50</v>
      </c>
      <c r="D71" s="585">
        <v>50</v>
      </c>
      <c r="E71" s="585">
        <v>52.848484848484851</v>
      </c>
      <c r="F71" s="585">
        <v>37.771428571428572</v>
      </c>
      <c r="G71" s="585">
        <v>44.316644113667117</v>
      </c>
      <c r="H71" s="585">
        <v>36.233480176211458</v>
      </c>
      <c r="I71" s="585">
        <v>51.624815361890697</v>
      </c>
      <c r="J71" s="585">
        <v>54.910242872228089</v>
      </c>
      <c r="K71" s="585">
        <v>52.699530516431928</v>
      </c>
      <c r="L71" s="585">
        <v>48.69029275808937</v>
      </c>
      <c r="M71" s="585">
        <v>44.766708701134931</v>
      </c>
      <c r="N71" s="585">
        <v>51.88284518828452</v>
      </c>
    </row>
    <row r="72" spans="1:14" ht="14">
      <c r="A72" s="240"/>
      <c r="B72" s="577" t="s">
        <v>116</v>
      </c>
      <c r="C72" s="586">
        <v>50</v>
      </c>
      <c r="D72" s="587">
        <v>74.493844049247613</v>
      </c>
      <c r="E72" s="587">
        <v>38.236256544502631</v>
      </c>
      <c r="F72" s="587">
        <v>37.30900798175599</v>
      </c>
      <c r="G72" s="587">
        <v>55.456011467478923</v>
      </c>
      <c r="H72" s="587">
        <v>93.594889168110825</v>
      </c>
      <c r="I72" s="587">
        <v>39.69315499606607</v>
      </c>
      <c r="J72" s="587">
        <v>45.889660211910837</v>
      </c>
      <c r="K72" s="587">
        <v>38.485804416403788</v>
      </c>
      <c r="L72" s="587">
        <v>57.534533277521938</v>
      </c>
      <c r="M72" s="587">
        <v>22.512801755669351</v>
      </c>
      <c r="N72" s="587">
        <v>24.171778227734599</v>
      </c>
    </row>
    <row r="73" spans="1:14" ht="14">
      <c r="A73" s="238">
        <v>2026</v>
      </c>
      <c r="B73" s="575" t="s">
        <v>105</v>
      </c>
      <c r="C73" s="684">
        <v>50</v>
      </c>
      <c r="D73" s="685">
        <v>56.084767100293753</v>
      </c>
      <c r="E73" s="685">
        <v>55.143584151217738</v>
      </c>
      <c r="F73" s="685">
        <v>46.435960127891668</v>
      </c>
      <c r="G73" s="685">
        <v>48.558347944671731</v>
      </c>
      <c r="H73" s="685">
        <v>16.89210443535703</v>
      </c>
      <c r="I73" s="685">
        <v>54.11392405063291</v>
      </c>
      <c r="J73" s="685">
        <v>50.150715900527508</v>
      </c>
      <c r="K73" s="685">
        <v>47.080291970802918</v>
      </c>
      <c r="L73" s="685">
        <v>48.935483870967737</v>
      </c>
      <c r="M73" s="685">
        <v>94.700724361418224</v>
      </c>
      <c r="N73" s="685">
        <v>50.315833801235257</v>
      </c>
    </row>
    <row r="74" spans="1:14" ht="14">
      <c r="A74" s="239"/>
      <c r="B74" s="576" t="s">
        <v>106</v>
      </c>
      <c r="C74" s="584">
        <v>50</v>
      </c>
      <c r="D74" s="585">
        <v>43.463035019455248</v>
      </c>
      <c r="E74" s="585">
        <v>62.527438068359992</v>
      </c>
      <c r="F74" s="585">
        <v>46.239406779661017</v>
      </c>
      <c r="G74" s="585">
        <v>31.013106624158699</v>
      </c>
      <c r="H74" s="585">
        <v>33.495603015075368</v>
      </c>
      <c r="I74" s="585">
        <v>49.679943100995729</v>
      </c>
      <c r="J74" s="585">
        <v>50.304709141274238</v>
      </c>
      <c r="K74" s="585">
        <v>45.860927152317878</v>
      </c>
      <c r="L74" s="585">
        <v>33.230863818014143</v>
      </c>
      <c r="M74" s="585">
        <v>16.266145989786711</v>
      </c>
      <c r="N74" s="585">
        <v>51.979152922549147</v>
      </c>
    </row>
    <row r="75" spans="1:14" ht="14">
      <c r="A75" s="240"/>
      <c r="B75" s="577" t="s">
        <v>107</v>
      </c>
      <c r="C75" s="586">
        <v>50</v>
      </c>
      <c r="D75" s="587">
        <v>87.864013704045334</v>
      </c>
      <c r="E75" s="587">
        <v>52.465483234714007</v>
      </c>
      <c r="F75" s="587">
        <v>64.981006647673311</v>
      </c>
      <c r="G75" s="587">
        <v>66.881308736512352</v>
      </c>
      <c r="H75" s="587">
        <v>70.619946091644209</v>
      </c>
      <c r="I75" s="587">
        <v>69.435075885328828</v>
      </c>
      <c r="J75" s="587">
        <v>52.046130952380956</v>
      </c>
      <c r="K75" s="587">
        <v>53.957783641160951</v>
      </c>
      <c r="L75" s="587">
        <v>36.494957754156438</v>
      </c>
      <c r="M75" s="587">
        <v>17.531120331950198</v>
      </c>
      <c r="N75" s="587">
        <v>67.277415852334428</v>
      </c>
    </row>
    <row r="76" spans="1:14">
      <c r="A76" s="91"/>
      <c r="B76" s="91"/>
      <c r="C76" s="91"/>
      <c r="D76" s="91"/>
      <c r="E76" s="91"/>
      <c r="F76" s="91"/>
      <c r="G76" s="91"/>
      <c r="H76" s="91"/>
      <c r="I76" s="91"/>
    </row>
    <row r="77" spans="1:14" ht="14">
      <c r="A77" s="823" t="s">
        <v>347</v>
      </c>
      <c r="B77" s="823"/>
      <c r="C77" s="823"/>
      <c r="D77" s="823"/>
      <c r="E77" s="823"/>
      <c r="F77" s="823"/>
      <c r="G77" s="823"/>
      <c r="H77" s="823"/>
      <c r="I77" s="823"/>
      <c r="J77" s="823"/>
      <c r="K77" s="823"/>
      <c r="L77" s="823"/>
      <c r="M77" s="823"/>
      <c r="N77" s="823"/>
    </row>
    <row r="78" spans="1:14" ht="23" customHeight="1">
      <c r="A78" s="717" t="s">
        <v>98</v>
      </c>
      <c r="B78" s="718"/>
      <c r="C78" s="721" t="s">
        <v>322</v>
      </c>
      <c r="D78" s="824" t="s">
        <v>336</v>
      </c>
      <c r="E78" s="825"/>
      <c r="F78" s="825"/>
      <c r="G78" s="825"/>
      <c r="H78" s="825"/>
      <c r="I78" s="825"/>
      <c r="J78" s="825"/>
      <c r="K78" s="825"/>
      <c r="L78" s="825"/>
      <c r="M78" s="825"/>
      <c r="N78" s="826"/>
    </row>
    <row r="79" spans="1:14" ht="58" customHeight="1">
      <c r="A79" s="751"/>
      <c r="B79" s="752"/>
      <c r="C79" s="722"/>
      <c r="D79" s="376" t="s">
        <v>337</v>
      </c>
      <c r="E79" s="376" t="s">
        <v>215</v>
      </c>
      <c r="F79" s="376" t="s">
        <v>338</v>
      </c>
      <c r="G79" s="376" t="s">
        <v>339</v>
      </c>
      <c r="H79" s="376" t="s">
        <v>340</v>
      </c>
      <c r="I79" s="376" t="s">
        <v>341</v>
      </c>
      <c r="J79" s="277" t="s">
        <v>342</v>
      </c>
      <c r="K79" s="277" t="s">
        <v>343</v>
      </c>
      <c r="L79" s="277" t="s">
        <v>344</v>
      </c>
      <c r="M79" s="281" t="s">
        <v>345</v>
      </c>
      <c r="N79" s="281" t="s">
        <v>346</v>
      </c>
    </row>
    <row r="80" spans="1:14" ht="14">
      <c r="A80" s="238">
        <v>2020</v>
      </c>
      <c r="B80" s="572" t="s">
        <v>112</v>
      </c>
      <c r="C80" s="578">
        <v>50</v>
      </c>
      <c r="D80" s="578">
        <v>61.710432931156831</v>
      </c>
      <c r="E80" s="578">
        <v>51.139195443218227</v>
      </c>
      <c r="F80" s="578">
        <v>51.41006097560976</v>
      </c>
      <c r="G80" s="578">
        <v>61.665351223362258</v>
      </c>
      <c r="H80" s="578">
        <v>53.596889176928073</v>
      </c>
      <c r="I80" s="578">
        <v>64.476190476190482</v>
      </c>
      <c r="J80" s="578">
        <v>60.959286112660358</v>
      </c>
      <c r="K80" s="578">
        <v>87.440381558028605</v>
      </c>
      <c r="L80" s="579">
        <v>54.670775218942552</v>
      </c>
      <c r="M80" s="578">
        <v>50.000000000000007</v>
      </c>
      <c r="N80" s="578">
        <v>60.450160771704191</v>
      </c>
    </row>
    <row r="81" spans="1:14" ht="14">
      <c r="A81" s="239"/>
      <c r="B81" s="573" t="s">
        <v>113</v>
      </c>
      <c r="C81" s="580">
        <v>50</v>
      </c>
      <c r="D81" s="580">
        <v>40.824524312896379</v>
      </c>
      <c r="E81" s="580">
        <v>54.954160789844849</v>
      </c>
      <c r="F81" s="580">
        <v>55.409265929698172</v>
      </c>
      <c r="G81" s="580">
        <v>52.541970224897057</v>
      </c>
      <c r="H81" s="580">
        <v>56.525233044037293</v>
      </c>
      <c r="I81" s="580">
        <v>56.421677802524137</v>
      </c>
      <c r="J81" s="580">
        <v>48.680636398913457</v>
      </c>
      <c r="K81" s="580">
        <v>57.728706624605692</v>
      </c>
      <c r="L81" s="581">
        <v>67.695019832525333</v>
      </c>
      <c r="M81" s="580">
        <v>49.490229396771447</v>
      </c>
      <c r="N81" s="580">
        <v>75.541327124563438</v>
      </c>
    </row>
    <row r="82" spans="1:14" ht="14">
      <c r="A82" s="239"/>
      <c r="B82" s="573" t="s">
        <v>114</v>
      </c>
      <c r="C82" s="580">
        <v>50</v>
      </c>
      <c r="D82" s="580">
        <v>77.344632768361578</v>
      </c>
      <c r="E82" s="580">
        <v>58.389987639060557</v>
      </c>
      <c r="F82" s="580">
        <v>56.625871825240147</v>
      </c>
      <c r="G82" s="580">
        <v>56.052269601100413</v>
      </c>
      <c r="H82" s="580">
        <v>50.080637935668847</v>
      </c>
      <c r="I82" s="580">
        <v>61.081560283687949</v>
      </c>
      <c r="J82" s="580">
        <v>61.660845944897162</v>
      </c>
      <c r="K82" s="580">
        <v>50.946372239747632</v>
      </c>
      <c r="L82" s="581">
        <v>68.315789473684191</v>
      </c>
      <c r="M82" s="580">
        <v>40.514469453376208</v>
      </c>
      <c r="N82" s="580">
        <v>62.854966815362872</v>
      </c>
    </row>
    <row r="83" spans="1:14" ht="14">
      <c r="A83" s="239"/>
      <c r="B83" s="573" t="s">
        <v>115</v>
      </c>
      <c r="C83" s="580">
        <v>50</v>
      </c>
      <c r="D83" s="580">
        <v>77.897930605259063</v>
      </c>
      <c r="E83" s="580">
        <v>58.181283107710421</v>
      </c>
      <c r="F83" s="580">
        <v>55.867727498756828</v>
      </c>
      <c r="G83" s="580">
        <v>62.357414448669211</v>
      </c>
      <c r="H83" s="580">
        <v>58.735776364125087</v>
      </c>
      <c r="I83" s="580">
        <v>75.22743177046884</v>
      </c>
      <c r="J83" s="580">
        <v>69.49941792782306</v>
      </c>
      <c r="K83" s="580">
        <v>74.16798732171155</v>
      </c>
      <c r="L83" s="581">
        <v>87.078322088589019</v>
      </c>
      <c r="M83" s="580">
        <v>45.417789757412379</v>
      </c>
      <c r="N83" s="580">
        <v>59.923619951394528</v>
      </c>
    </row>
    <row r="84" spans="1:14" ht="14">
      <c r="A84" s="239"/>
      <c r="B84" s="574" t="s">
        <v>116</v>
      </c>
      <c r="C84" s="582">
        <v>50</v>
      </c>
      <c r="D84" s="582">
        <v>87.374593754415727</v>
      </c>
      <c r="E84" s="582">
        <v>51.923076923076927</v>
      </c>
      <c r="F84" s="582">
        <v>47.082467082467069</v>
      </c>
      <c r="G84" s="582">
        <v>56.208104814137727</v>
      </c>
      <c r="H84" s="582">
        <v>50.2441576560865</v>
      </c>
      <c r="I84" s="582">
        <v>71.289355322338849</v>
      </c>
      <c r="J84" s="582">
        <v>67.986030267753193</v>
      </c>
      <c r="K84" s="582">
        <v>50.734094616639503</v>
      </c>
      <c r="L84" s="583">
        <v>37.55630630630629</v>
      </c>
      <c r="M84" s="582">
        <v>70.652999240698549</v>
      </c>
      <c r="N84" s="582">
        <v>54.887799845241183</v>
      </c>
    </row>
    <row r="85" spans="1:14" ht="14">
      <c r="A85" s="238">
        <v>2021</v>
      </c>
      <c r="B85" s="573" t="s">
        <v>105</v>
      </c>
      <c r="C85" s="578">
        <v>50</v>
      </c>
      <c r="D85" s="580">
        <v>82.767870088444255</v>
      </c>
      <c r="E85" s="580">
        <v>54.006968641114987</v>
      </c>
      <c r="F85" s="580">
        <v>49.407027818448007</v>
      </c>
      <c r="G85" s="580">
        <v>44.918233226348761</v>
      </c>
      <c r="H85" s="580">
        <v>50.460039689698718</v>
      </c>
      <c r="I85" s="580">
        <v>70.115356885364122</v>
      </c>
      <c r="J85" s="580">
        <v>66.707466340269278</v>
      </c>
      <c r="K85" s="580">
        <v>52.166934189406099</v>
      </c>
      <c r="L85" s="581">
        <v>49.352651048088781</v>
      </c>
      <c r="M85" s="578">
        <v>30.587808417997088</v>
      </c>
      <c r="N85" s="578">
        <v>62.019164955509908</v>
      </c>
    </row>
    <row r="86" spans="1:14" ht="14">
      <c r="A86" s="239"/>
      <c r="B86" s="573" t="s">
        <v>106</v>
      </c>
      <c r="C86" s="580">
        <v>50</v>
      </c>
      <c r="D86" s="580">
        <v>97.065437373510235</v>
      </c>
      <c r="E86" s="580">
        <v>48.849150141643072</v>
      </c>
      <c r="F86" s="580">
        <v>67.20193576770788</v>
      </c>
      <c r="G86" s="580">
        <v>64.877647542669109</v>
      </c>
      <c r="H86" s="580">
        <v>48.979261179520442</v>
      </c>
      <c r="I86" s="580">
        <v>69.586614173228355</v>
      </c>
      <c r="J86" s="580">
        <v>60.077519379844951</v>
      </c>
      <c r="K86" s="580">
        <v>54.890219560878243</v>
      </c>
      <c r="L86" s="581">
        <v>70.035335689045922</v>
      </c>
      <c r="M86" s="580">
        <v>55.028735632183903</v>
      </c>
      <c r="N86" s="580">
        <v>55.952380952380949</v>
      </c>
    </row>
    <row r="87" spans="1:14" ht="14">
      <c r="A87" s="239"/>
      <c r="B87" s="573" t="s">
        <v>107</v>
      </c>
      <c r="C87" s="580">
        <v>50</v>
      </c>
      <c r="D87" s="580">
        <v>84.459356412993756</v>
      </c>
      <c r="E87" s="580">
        <v>55.690268347882323</v>
      </c>
      <c r="F87" s="580">
        <v>55.609477590636587</v>
      </c>
      <c r="G87" s="580">
        <v>62.568742238779478</v>
      </c>
      <c r="H87" s="580">
        <v>53.582945180938736</v>
      </c>
      <c r="I87" s="580">
        <v>74.350649350649363</v>
      </c>
      <c r="J87" s="580">
        <v>86.845168800931319</v>
      </c>
      <c r="K87" s="580">
        <v>46.308186195826643</v>
      </c>
      <c r="L87" s="581">
        <v>39.803988995873432</v>
      </c>
      <c r="M87" s="580">
        <v>55.535714285714278</v>
      </c>
      <c r="N87" s="580">
        <v>72.471910112359538</v>
      </c>
    </row>
    <row r="88" spans="1:14" ht="14">
      <c r="A88" s="239"/>
      <c r="B88" s="573" t="s">
        <v>108</v>
      </c>
      <c r="C88" s="580">
        <v>50</v>
      </c>
      <c r="D88" s="580">
        <v>74.989043097151196</v>
      </c>
      <c r="E88" s="580">
        <v>55.795610425240064</v>
      </c>
      <c r="F88" s="580">
        <v>62.425913163335608</v>
      </c>
      <c r="G88" s="580">
        <v>71.517082669499032</v>
      </c>
      <c r="H88" s="580">
        <v>52.64623955431756</v>
      </c>
      <c r="I88" s="580">
        <v>75.241439859525912</v>
      </c>
      <c r="J88" s="580">
        <v>52.948784273150537</v>
      </c>
      <c r="K88" s="580">
        <v>29.86798679867988</v>
      </c>
      <c r="L88" s="581">
        <v>68.079183420971219</v>
      </c>
      <c r="M88" s="580">
        <v>41.917140536149468</v>
      </c>
      <c r="N88" s="580">
        <v>51.059410054009142</v>
      </c>
    </row>
    <row r="89" spans="1:14" ht="14">
      <c r="A89" s="239"/>
      <c r="B89" s="573" t="s">
        <v>109</v>
      </c>
      <c r="C89" s="580">
        <v>50</v>
      </c>
      <c r="D89" s="580">
        <v>87.513430544896394</v>
      </c>
      <c r="E89" s="580">
        <v>60.051457975986281</v>
      </c>
      <c r="F89" s="580">
        <v>51.839201261166579</v>
      </c>
      <c r="G89" s="580">
        <v>32.723205206426677</v>
      </c>
      <c r="H89" s="580">
        <v>51.010886469673409</v>
      </c>
      <c r="I89" s="580">
        <v>65.877287405812709</v>
      </c>
      <c r="J89" s="580">
        <v>82.231742146062828</v>
      </c>
      <c r="K89" s="580">
        <v>74.754901960784295</v>
      </c>
      <c r="L89" s="581">
        <v>40.6902985074627</v>
      </c>
      <c r="M89" s="580">
        <v>50.662251655629142</v>
      </c>
      <c r="N89" s="580">
        <v>63.990554899645801</v>
      </c>
    </row>
    <row r="90" spans="1:14" ht="14">
      <c r="A90" s="239"/>
      <c r="B90" s="573" t="s">
        <v>110</v>
      </c>
      <c r="C90" s="580">
        <v>50</v>
      </c>
      <c r="D90" s="580">
        <v>45.827804806132981</v>
      </c>
      <c r="E90" s="580">
        <v>56.654740608228977</v>
      </c>
      <c r="F90" s="580">
        <v>55.324106764581273</v>
      </c>
      <c r="G90" s="580">
        <v>40.778378378378378</v>
      </c>
      <c r="H90" s="580">
        <v>83.309684285207567</v>
      </c>
      <c r="I90" s="580">
        <v>82.944162436548226</v>
      </c>
      <c r="J90" s="580">
        <v>64.157486740106066</v>
      </c>
      <c r="K90" s="580">
        <v>53.425774877650888</v>
      </c>
      <c r="L90" s="581">
        <v>61.429776465626333</v>
      </c>
      <c r="M90" s="580">
        <v>53.846153846153847</v>
      </c>
      <c r="N90" s="580">
        <v>66.876673491888482</v>
      </c>
    </row>
    <row r="91" spans="1:14" ht="14">
      <c r="A91" s="239"/>
      <c r="B91" s="573" t="s">
        <v>117</v>
      </c>
      <c r="C91" s="580">
        <v>50</v>
      </c>
      <c r="D91" s="580">
        <v>44.007519974933423</v>
      </c>
      <c r="E91" s="580">
        <v>58.415653495440729</v>
      </c>
      <c r="F91" s="580">
        <v>50.885204440073061</v>
      </c>
      <c r="G91" s="580">
        <v>48.468201986055348</v>
      </c>
      <c r="H91" s="580">
        <v>53.466204506065857</v>
      </c>
      <c r="I91" s="580">
        <v>76.135163674762424</v>
      </c>
      <c r="J91" s="580">
        <v>55.242758057935553</v>
      </c>
      <c r="K91" s="580">
        <v>57.256778309409881</v>
      </c>
      <c r="L91" s="581">
        <v>53.648424543946923</v>
      </c>
      <c r="M91" s="580">
        <v>72.287636669470146</v>
      </c>
      <c r="N91" s="580">
        <v>58.376339817387858</v>
      </c>
    </row>
    <row r="92" spans="1:14" ht="14">
      <c r="A92" s="239"/>
      <c r="B92" s="573" t="s">
        <v>112</v>
      </c>
      <c r="C92" s="580">
        <v>50</v>
      </c>
      <c r="D92" s="580">
        <v>34.556813744631029</v>
      </c>
      <c r="E92" s="580">
        <v>49.813045284586622</v>
      </c>
      <c r="F92" s="580">
        <v>35.596424888277753</v>
      </c>
      <c r="G92" s="580">
        <v>30.189214758751181</v>
      </c>
      <c r="H92" s="580">
        <v>66.346153846153882</v>
      </c>
      <c r="I92" s="580">
        <v>75.923970432946163</v>
      </c>
      <c r="J92" s="580">
        <v>13.61339229311433</v>
      </c>
      <c r="K92" s="580">
        <v>44.975288303130142</v>
      </c>
      <c r="L92" s="581">
        <v>15.77441077441078</v>
      </c>
      <c r="M92" s="580">
        <v>54.953917050691253</v>
      </c>
      <c r="N92" s="580">
        <v>40.198033907964088</v>
      </c>
    </row>
    <row r="93" spans="1:14" ht="14">
      <c r="A93" s="239"/>
      <c r="B93" s="573" t="s">
        <v>113</v>
      </c>
      <c r="C93" s="580">
        <v>50</v>
      </c>
      <c r="D93" s="580">
        <v>61.715028150714581</v>
      </c>
      <c r="E93" s="580">
        <v>39.730400851365737</v>
      </c>
      <c r="F93" s="580">
        <v>35.734339357782048</v>
      </c>
      <c r="G93" s="580">
        <v>31.501074557778139</v>
      </c>
      <c r="H93" s="580">
        <v>61.602564102564138</v>
      </c>
      <c r="I93" s="580">
        <v>54.022988505747144</v>
      </c>
      <c r="J93" s="580">
        <v>71.957375210319682</v>
      </c>
      <c r="K93" s="580">
        <v>39.504132231404967</v>
      </c>
      <c r="L93" s="581">
        <v>34.369712351945857</v>
      </c>
      <c r="M93" s="580">
        <v>25.15151515151512</v>
      </c>
      <c r="N93" s="580">
        <v>31.115579646791399</v>
      </c>
    </row>
    <row r="94" spans="1:14" ht="14">
      <c r="A94" s="239"/>
      <c r="B94" s="573" t="s">
        <v>114</v>
      </c>
      <c r="C94" s="580">
        <v>50</v>
      </c>
      <c r="D94" s="580">
        <v>15.456057665650119</v>
      </c>
      <c r="E94" s="580">
        <v>43.275632490013322</v>
      </c>
      <c r="F94" s="580">
        <v>49.77801268498942</v>
      </c>
      <c r="G94" s="580">
        <v>40.326379542395699</v>
      </c>
      <c r="H94" s="580">
        <v>54.303599374021907</v>
      </c>
      <c r="I94" s="580">
        <v>41.922695738354783</v>
      </c>
      <c r="J94" s="580">
        <v>45.601265822784811</v>
      </c>
      <c r="K94" s="580">
        <v>46.891651865008889</v>
      </c>
      <c r="L94" s="581">
        <v>26.47867950481427</v>
      </c>
      <c r="M94" s="580">
        <v>45.689655172413801</v>
      </c>
      <c r="N94" s="580">
        <v>51.247417765771488</v>
      </c>
    </row>
    <row r="95" spans="1:14" ht="14">
      <c r="A95" s="239"/>
      <c r="B95" s="573" t="s">
        <v>115</v>
      </c>
      <c r="C95" s="580">
        <v>50</v>
      </c>
      <c r="D95" s="580">
        <v>93.976140534871519</v>
      </c>
      <c r="E95" s="580">
        <v>60.703363914373092</v>
      </c>
      <c r="F95" s="580">
        <v>52.000343406593409</v>
      </c>
      <c r="G95" s="580">
        <v>60.561779509660653</v>
      </c>
      <c r="H95" s="580">
        <v>64.006259780907655</v>
      </c>
      <c r="I95" s="580">
        <v>73.491655969191257</v>
      </c>
      <c r="J95" s="580">
        <v>83.386075949367097</v>
      </c>
      <c r="K95" s="580">
        <v>51.532567049808428</v>
      </c>
      <c r="L95" s="581">
        <v>91.74082313681869</v>
      </c>
      <c r="M95" s="580">
        <v>23.138297872340409</v>
      </c>
      <c r="N95" s="580">
        <v>53.916416416416403</v>
      </c>
    </row>
    <row r="96" spans="1:14" ht="14">
      <c r="A96" s="240"/>
      <c r="B96" s="574" t="s">
        <v>116</v>
      </c>
      <c r="C96" s="582">
        <v>50</v>
      </c>
      <c r="D96" s="582">
        <v>73.492560689115095</v>
      </c>
      <c r="E96" s="582">
        <v>63.87981711299804</v>
      </c>
      <c r="F96" s="582">
        <v>41.634083861399489</v>
      </c>
      <c r="G96" s="582">
        <v>71.885035324341672</v>
      </c>
      <c r="H96" s="582">
        <v>91.635687732342006</v>
      </c>
      <c r="I96" s="582">
        <v>69.214108910891085</v>
      </c>
      <c r="J96" s="582">
        <v>48.452655889145497</v>
      </c>
      <c r="K96" s="582">
        <v>57.388316151202758</v>
      </c>
      <c r="L96" s="582">
        <v>51.638576779026167</v>
      </c>
      <c r="M96" s="582">
        <v>72.898230088495581</v>
      </c>
      <c r="N96" s="582">
        <v>45.735785953177263</v>
      </c>
    </row>
    <row r="97" spans="1:14" ht="14">
      <c r="A97" s="238">
        <v>2022</v>
      </c>
      <c r="B97" s="575" t="s">
        <v>105</v>
      </c>
      <c r="C97" s="578">
        <v>50</v>
      </c>
      <c r="D97" s="578">
        <v>75.752668825716682</v>
      </c>
      <c r="E97" s="578">
        <v>49.925617375781023</v>
      </c>
      <c r="F97" s="578">
        <v>57.937849434403837</v>
      </c>
      <c r="G97" s="578">
        <v>50.651558073654392</v>
      </c>
      <c r="H97" s="578">
        <v>54.696969696969688</v>
      </c>
      <c r="I97" s="578">
        <v>43.221035332785547</v>
      </c>
      <c r="J97" s="578">
        <v>73.22064056939503</v>
      </c>
      <c r="K97" s="578">
        <v>53.333333333333343</v>
      </c>
      <c r="L97" s="578">
        <v>65.445544554455452</v>
      </c>
      <c r="M97" s="578">
        <v>50.483759502418799</v>
      </c>
      <c r="N97" s="578">
        <v>69.159902074474942</v>
      </c>
    </row>
    <row r="98" spans="1:14" ht="14">
      <c r="A98" s="239"/>
      <c r="B98" s="576" t="s">
        <v>106</v>
      </c>
      <c r="C98" s="580">
        <v>50</v>
      </c>
      <c r="D98" s="580">
        <v>67.638148327678124</v>
      </c>
      <c r="E98" s="580">
        <v>65.517241379310349</v>
      </c>
      <c r="F98" s="580">
        <v>52.432639509641177</v>
      </c>
      <c r="G98" s="580">
        <v>62.408637873754159</v>
      </c>
      <c r="H98" s="580">
        <v>51.195695496213631</v>
      </c>
      <c r="I98" s="580">
        <v>76.00583090379007</v>
      </c>
      <c r="J98" s="580">
        <v>62.855871886121008</v>
      </c>
      <c r="K98" s="580">
        <v>51.699029126213603</v>
      </c>
      <c r="L98" s="580">
        <v>56.930171277997381</v>
      </c>
      <c r="M98" s="580">
        <v>43.488943488943491</v>
      </c>
      <c r="N98" s="580">
        <v>56.007429230178047</v>
      </c>
    </row>
    <row r="99" spans="1:14" ht="14">
      <c r="A99" s="239"/>
      <c r="B99" s="576" t="s">
        <v>107</v>
      </c>
      <c r="C99" s="580">
        <v>50</v>
      </c>
      <c r="D99" s="580">
        <v>90.162810625535556</v>
      </c>
      <c r="E99" s="580">
        <v>66.806116560877101</v>
      </c>
      <c r="F99" s="580">
        <v>36.909671411467343</v>
      </c>
      <c r="G99" s="580">
        <v>71.843948525818547</v>
      </c>
      <c r="H99" s="580">
        <v>85.449999999999989</v>
      </c>
      <c r="I99" s="580">
        <v>55.105105105105103</v>
      </c>
      <c r="J99" s="580">
        <v>87.500000000000014</v>
      </c>
      <c r="K99" s="580">
        <v>48.644067796610173</v>
      </c>
      <c r="L99" s="580">
        <v>66.751952598976544</v>
      </c>
      <c r="M99" s="580">
        <v>48.376259798432251</v>
      </c>
      <c r="N99" s="580">
        <v>42.804534834972728</v>
      </c>
    </row>
    <row r="100" spans="1:14" ht="14">
      <c r="A100" s="239"/>
      <c r="B100" s="576" t="s">
        <v>108</v>
      </c>
      <c r="C100" s="580">
        <v>50</v>
      </c>
      <c r="D100" s="580">
        <v>79.635238625157371</v>
      </c>
      <c r="E100" s="580">
        <v>61.101412935548879</v>
      </c>
      <c r="F100" s="580">
        <v>53.843868004686151</v>
      </c>
      <c r="G100" s="580">
        <v>55.175900648721488</v>
      </c>
      <c r="H100" s="580">
        <v>70.247204448898259</v>
      </c>
      <c r="I100" s="580">
        <v>65.463591209762697</v>
      </c>
      <c r="J100" s="580">
        <v>83.622049192568468</v>
      </c>
      <c r="K100" s="580">
        <v>51.693393289814694</v>
      </c>
      <c r="L100" s="580">
        <v>65.467491919437492</v>
      </c>
      <c r="M100" s="580">
        <v>52.218914044420409</v>
      </c>
      <c r="N100" s="580">
        <v>84.128102295245895</v>
      </c>
    </row>
    <row r="101" spans="1:14" ht="14">
      <c r="A101" s="239"/>
      <c r="B101" s="576" t="s">
        <v>109</v>
      </c>
      <c r="C101" s="580">
        <v>50</v>
      </c>
      <c r="D101" s="580">
        <v>74.928721953638274</v>
      </c>
      <c r="E101" s="580">
        <v>57.262804366078917</v>
      </c>
      <c r="F101" s="580">
        <v>56.724774144293157</v>
      </c>
      <c r="G101" s="580">
        <v>53.744757339724387</v>
      </c>
      <c r="H101" s="580">
        <v>91.233459357277894</v>
      </c>
      <c r="I101" s="580">
        <v>55.818318318318319</v>
      </c>
      <c r="J101" s="580">
        <v>88.967971530249116</v>
      </c>
      <c r="K101" s="580">
        <v>50.912106135986733</v>
      </c>
      <c r="L101" s="580">
        <v>57.721854304635777</v>
      </c>
      <c r="M101" s="580">
        <v>59.701492537313428</v>
      </c>
      <c r="N101" s="580">
        <v>63.681541538923312</v>
      </c>
    </row>
    <row r="102" spans="1:14" ht="14">
      <c r="A102" s="239"/>
      <c r="B102" s="576" t="s">
        <v>110</v>
      </c>
      <c r="C102" s="580">
        <v>50</v>
      </c>
      <c r="D102" s="580">
        <v>51.961165048543691</v>
      </c>
      <c r="E102" s="580">
        <v>57.929515418502199</v>
      </c>
      <c r="F102" s="580">
        <v>63.20274739252099</v>
      </c>
      <c r="G102" s="580">
        <v>52.914353687549571</v>
      </c>
      <c r="H102" s="580">
        <v>88.732114467408593</v>
      </c>
      <c r="I102" s="580">
        <v>54.424778761061951</v>
      </c>
      <c r="J102" s="580">
        <v>69.884341637010678</v>
      </c>
      <c r="K102" s="580">
        <v>51.745379876796719</v>
      </c>
      <c r="L102" s="580">
        <v>55.511288180610883</v>
      </c>
      <c r="M102" s="580">
        <v>49.318801089918253</v>
      </c>
      <c r="N102" s="580">
        <v>53.856259187855471</v>
      </c>
    </row>
    <row r="103" spans="1:14" ht="14">
      <c r="A103" s="239"/>
      <c r="B103" s="576" t="s">
        <v>117</v>
      </c>
      <c r="C103" s="580">
        <v>50</v>
      </c>
      <c r="D103" s="580">
        <v>68.107358870967715</v>
      </c>
      <c r="E103" s="580">
        <v>65.586272640610105</v>
      </c>
      <c r="F103" s="580">
        <v>62.743955723856693</v>
      </c>
      <c r="G103" s="580">
        <v>55.942261427425827</v>
      </c>
      <c r="H103" s="580">
        <v>82.762923351158648</v>
      </c>
      <c r="I103" s="580">
        <v>56.773049645390053</v>
      </c>
      <c r="J103" s="580">
        <v>71.064139941690982</v>
      </c>
      <c r="K103" s="580">
        <v>52.196652719665273</v>
      </c>
      <c r="L103" s="580">
        <v>38.397350993377437</v>
      </c>
      <c r="M103" s="580">
        <v>66.469038208168655</v>
      </c>
      <c r="N103" s="580">
        <v>64.19291802942567</v>
      </c>
    </row>
    <row r="104" spans="1:14" ht="14">
      <c r="A104" s="239"/>
      <c r="B104" s="576" t="s">
        <v>112</v>
      </c>
      <c r="C104" s="580">
        <v>50</v>
      </c>
      <c r="D104" s="580">
        <v>86.54033116381882</v>
      </c>
      <c r="E104" s="580">
        <v>52.47230314160673</v>
      </c>
      <c r="F104" s="580">
        <v>69.348425862067685</v>
      </c>
      <c r="G104" s="580">
        <v>56.743893154480133</v>
      </c>
      <c r="H104" s="580">
        <v>85.235670925679358</v>
      </c>
      <c r="I104" s="580">
        <v>48.061452799626878</v>
      </c>
      <c r="J104" s="580">
        <v>72.771571444175734</v>
      </c>
      <c r="K104" s="580">
        <v>52.412307497363898</v>
      </c>
      <c r="L104" s="580">
        <v>63.213356067529197</v>
      </c>
      <c r="M104" s="580">
        <v>46.295552323232911</v>
      </c>
      <c r="N104" s="580">
        <v>53.232092619545028</v>
      </c>
    </row>
    <row r="105" spans="1:14" ht="14">
      <c r="A105" s="239"/>
      <c r="B105" s="576" t="s">
        <v>113</v>
      </c>
      <c r="C105" s="580">
        <v>50</v>
      </c>
      <c r="D105" s="580">
        <v>90.070332480818422</v>
      </c>
      <c r="E105" s="580">
        <v>62.458517699115028</v>
      </c>
      <c r="F105" s="580">
        <v>75.439272503082606</v>
      </c>
      <c r="G105" s="580">
        <v>43.952546296296291</v>
      </c>
      <c r="H105" s="580">
        <v>25.689987163029521</v>
      </c>
      <c r="I105" s="580">
        <v>70.154798761609925</v>
      </c>
      <c r="J105" s="580">
        <v>54.003558718861207</v>
      </c>
      <c r="K105" s="580">
        <v>52.331606217616581</v>
      </c>
      <c r="L105" s="580">
        <v>50.561617458279848</v>
      </c>
      <c r="M105" s="580">
        <v>58.854166666666671</v>
      </c>
      <c r="N105" s="580">
        <v>54.933228487198441</v>
      </c>
    </row>
    <row r="106" spans="1:14" ht="14">
      <c r="A106" s="239"/>
      <c r="B106" s="576" t="s">
        <v>114</v>
      </c>
      <c r="C106" s="580">
        <v>50</v>
      </c>
      <c r="D106" s="580">
        <v>76.025723472668815</v>
      </c>
      <c r="E106" s="580">
        <v>62.102689486552578</v>
      </c>
      <c r="F106" s="580">
        <v>52.673432293244467</v>
      </c>
      <c r="G106" s="580">
        <v>55.593640606767799</v>
      </c>
      <c r="H106" s="580">
        <v>77.8731045490822</v>
      </c>
      <c r="I106" s="580">
        <v>49.060364464692483</v>
      </c>
      <c r="J106" s="580">
        <v>51.185468451242834</v>
      </c>
      <c r="K106" s="580">
        <v>50.524109014675062</v>
      </c>
      <c r="L106" s="580">
        <v>59.216018573311423</v>
      </c>
      <c r="M106" s="580">
        <v>53.751710410809842</v>
      </c>
      <c r="N106" s="580">
        <v>67.044532826655399</v>
      </c>
    </row>
    <row r="107" spans="1:14" ht="14">
      <c r="A107" s="239"/>
      <c r="B107" s="576" t="s">
        <v>115</v>
      </c>
      <c r="C107" s="580">
        <v>50</v>
      </c>
      <c r="D107" s="580">
        <v>61.895265054040152</v>
      </c>
      <c r="E107" s="580">
        <v>48.136645962732942</v>
      </c>
      <c r="F107" s="580">
        <v>48.498519667277591</v>
      </c>
      <c r="G107" s="580">
        <v>55.7936796222303</v>
      </c>
      <c r="H107" s="580">
        <v>49.089403973509938</v>
      </c>
      <c r="I107" s="580">
        <v>68.495639534883693</v>
      </c>
      <c r="J107" s="580">
        <v>54.465648854961849</v>
      </c>
      <c r="K107" s="580">
        <v>71.858407079646028</v>
      </c>
      <c r="L107" s="580">
        <v>49.684641865787448</v>
      </c>
      <c r="M107" s="580">
        <v>42.195197922966983</v>
      </c>
      <c r="N107" s="580">
        <v>82.033996969150621</v>
      </c>
    </row>
    <row r="108" spans="1:14" ht="14">
      <c r="A108" s="240"/>
      <c r="B108" s="577" t="s">
        <v>116</v>
      </c>
      <c r="C108" s="582">
        <v>50</v>
      </c>
      <c r="D108" s="582">
        <v>57.766599597585511</v>
      </c>
      <c r="E108" s="582">
        <v>62.642439174622709</v>
      </c>
      <c r="F108" s="582">
        <v>41.71929824561402</v>
      </c>
      <c r="G108" s="582">
        <v>59.967001649917542</v>
      </c>
      <c r="H108" s="582">
        <v>30.35284683239777</v>
      </c>
      <c r="I108" s="582">
        <v>55.171377029464828</v>
      </c>
      <c r="J108" s="582">
        <v>50.782442748091597</v>
      </c>
      <c r="K108" s="582">
        <v>52.439024390243908</v>
      </c>
      <c r="L108" s="582">
        <v>61.784511115948327</v>
      </c>
      <c r="M108" s="582">
        <v>70.491803278688508</v>
      </c>
      <c r="N108" s="582">
        <v>45.709922362063622</v>
      </c>
    </row>
    <row r="109" spans="1:14" ht="14">
      <c r="A109" s="238">
        <v>2023</v>
      </c>
      <c r="B109" s="573" t="s">
        <v>105</v>
      </c>
      <c r="C109" s="578">
        <v>50</v>
      </c>
      <c r="D109" s="578">
        <v>89.996236828901147</v>
      </c>
      <c r="E109" s="578">
        <v>70.006759040216281</v>
      </c>
      <c r="F109" s="578">
        <v>58.398288246981508</v>
      </c>
      <c r="G109" s="578">
        <v>50.364298724954459</v>
      </c>
      <c r="H109" s="578">
        <v>35.488013698630148</v>
      </c>
      <c r="I109" s="578">
        <v>50.710315009264988</v>
      </c>
      <c r="J109" s="578">
        <v>48.273215656178053</v>
      </c>
      <c r="K109" s="578">
        <v>53.510273972602747</v>
      </c>
      <c r="L109" s="578">
        <v>30.67122824008419</v>
      </c>
      <c r="M109" s="578">
        <v>47.189992592579863</v>
      </c>
      <c r="N109" s="578">
        <v>60.318196890947448</v>
      </c>
    </row>
    <row r="110" spans="1:14" ht="14">
      <c r="A110" s="239"/>
      <c r="B110" s="573" t="s">
        <v>106</v>
      </c>
      <c r="C110" s="580">
        <v>50</v>
      </c>
      <c r="D110" s="580">
        <v>21.079387186629528</v>
      </c>
      <c r="E110" s="580">
        <v>52.119164619164643</v>
      </c>
      <c r="F110" s="580">
        <v>74.533527696793016</v>
      </c>
      <c r="G110" s="580">
        <v>68.084551148225472</v>
      </c>
      <c r="H110" s="580">
        <v>81.043745203376815</v>
      </c>
      <c r="I110" s="580">
        <v>57.169344870210139</v>
      </c>
      <c r="J110" s="580">
        <v>73.925556408288557</v>
      </c>
      <c r="K110" s="580">
        <v>49.913194444444443</v>
      </c>
      <c r="L110" s="580">
        <v>46.599379639120023</v>
      </c>
      <c r="M110" s="580">
        <v>59.782560091518327</v>
      </c>
      <c r="N110" s="580">
        <v>52.130891358999968</v>
      </c>
    </row>
    <row r="111" spans="1:14" ht="14">
      <c r="A111" s="239"/>
      <c r="B111" s="573" t="s">
        <v>107</v>
      </c>
      <c r="C111" s="580">
        <v>50</v>
      </c>
      <c r="D111" s="580">
        <v>32.833667837431022</v>
      </c>
      <c r="E111" s="580">
        <v>57.244024786072572</v>
      </c>
      <c r="F111" s="580">
        <v>57.867872247338489</v>
      </c>
      <c r="G111" s="580">
        <v>67.199082244969986</v>
      </c>
      <c r="H111" s="580">
        <v>31.372123317412079</v>
      </c>
      <c r="I111" s="580">
        <v>65.084944346807276</v>
      </c>
      <c r="J111" s="580">
        <v>70.663852647735993</v>
      </c>
      <c r="K111" s="580">
        <v>50.307377049180317</v>
      </c>
      <c r="L111" s="580">
        <v>37.183816843135219</v>
      </c>
      <c r="M111" s="580">
        <v>52.482586263548548</v>
      </c>
      <c r="N111" s="580">
        <v>51.786034987227033</v>
      </c>
    </row>
    <row r="112" spans="1:14" ht="14">
      <c r="A112" s="239"/>
      <c r="B112" s="573" t="s">
        <v>108</v>
      </c>
      <c r="C112" s="580">
        <v>50</v>
      </c>
      <c r="D112" s="580">
        <v>68.55070569785677</v>
      </c>
      <c r="E112" s="580">
        <v>53.926878808395386</v>
      </c>
      <c r="F112" s="580">
        <v>30.103286384976521</v>
      </c>
      <c r="G112" s="580">
        <v>49.708789269325813</v>
      </c>
      <c r="H112" s="580">
        <v>56.33676668159427</v>
      </c>
      <c r="I112" s="580">
        <v>54.267931238885602</v>
      </c>
      <c r="J112" s="580">
        <v>51.45817344589409</v>
      </c>
      <c r="K112" s="580">
        <v>47.014925373134332</v>
      </c>
      <c r="L112" s="580">
        <v>61.093688749509987</v>
      </c>
      <c r="M112" s="580">
        <v>63.824046803576877</v>
      </c>
      <c r="N112" s="580">
        <v>43.545186290826948</v>
      </c>
    </row>
    <row r="113" spans="1:14" ht="14">
      <c r="A113" s="239"/>
      <c r="B113" s="573" t="s">
        <v>109</v>
      </c>
      <c r="C113" s="580">
        <v>50</v>
      </c>
      <c r="D113" s="580">
        <v>68.412028488525451</v>
      </c>
      <c r="E113" s="580">
        <v>51.353686635944698</v>
      </c>
      <c r="F113" s="580">
        <v>53.914680050188203</v>
      </c>
      <c r="G113" s="580">
        <v>46.345106308205942</v>
      </c>
      <c r="H113" s="580">
        <v>50.604741170778908</v>
      </c>
      <c r="I113" s="580">
        <v>51.43971205758848</v>
      </c>
      <c r="J113" s="580">
        <v>47.831926323867989</v>
      </c>
      <c r="K113" s="580">
        <v>51.919561243144422</v>
      </c>
      <c r="L113" s="580">
        <v>48.402786026203593</v>
      </c>
      <c r="M113" s="580">
        <v>57.353610422804159</v>
      </c>
      <c r="N113" s="580">
        <v>44.239657667728878</v>
      </c>
    </row>
    <row r="114" spans="1:14" ht="14">
      <c r="A114" s="239"/>
      <c r="B114" s="573" t="s">
        <v>110</v>
      </c>
      <c r="C114" s="580">
        <v>50</v>
      </c>
      <c r="D114" s="580">
        <v>83.054594867863671</v>
      </c>
      <c r="E114" s="580">
        <v>70.381152908312075</v>
      </c>
      <c r="F114" s="580">
        <v>61.101077453255563</v>
      </c>
      <c r="G114" s="580">
        <v>55.52332341014975</v>
      </c>
      <c r="H114" s="580">
        <v>60.431077620646299</v>
      </c>
      <c r="I114" s="580">
        <v>52.34425809614293</v>
      </c>
      <c r="J114" s="580">
        <v>64.231512383527871</v>
      </c>
      <c r="K114" s="580">
        <v>51.869966995958443</v>
      </c>
      <c r="L114" s="580">
        <v>80.557727437266209</v>
      </c>
      <c r="M114" s="580">
        <v>41.691668329378857</v>
      </c>
      <c r="N114" s="580">
        <v>63.78104716291395</v>
      </c>
    </row>
    <row r="115" spans="1:14" ht="14">
      <c r="A115" s="239"/>
      <c r="B115" s="573" t="s">
        <v>117</v>
      </c>
      <c r="C115" s="580">
        <v>50</v>
      </c>
      <c r="D115" s="580">
        <v>93.997683993823983</v>
      </c>
      <c r="E115" s="580">
        <v>58.703756811012319</v>
      </c>
      <c r="F115" s="580">
        <v>68.85118306351184</v>
      </c>
      <c r="G115" s="580">
        <v>53.906742281033402</v>
      </c>
      <c r="H115" s="580">
        <v>81.607879065506182</v>
      </c>
      <c r="I115" s="580">
        <v>48.11507936507936</v>
      </c>
      <c r="J115" s="580">
        <v>70.990023023791267</v>
      </c>
      <c r="K115" s="580">
        <v>52.371916508538902</v>
      </c>
      <c r="L115" s="580">
        <v>57.946528035647972</v>
      </c>
      <c r="M115" s="580">
        <v>80.24011849263691</v>
      </c>
      <c r="N115" s="580">
        <v>58.864872032886893</v>
      </c>
    </row>
    <row r="116" spans="1:14" ht="14">
      <c r="A116" s="239"/>
      <c r="B116" s="573" t="s">
        <v>112</v>
      </c>
      <c r="C116" s="580">
        <v>50</v>
      </c>
      <c r="D116" s="580">
        <v>52.924657534246577</v>
      </c>
      <c r="E116" s="580">
        <v>65.299592786503766</v>
      </c>
      <c r="F116" s="580">
        <v>65.314136125654471</v>
      </c>
      <c r="G116" s="580">
        <v>51.670770313049601</v>
      </c>
      <c r="H116" s="580">
        <v>88.755406054781346</v>
      </c>
      <c r="I116" s="580">
        <v>55.927518427518429</v>
      </c>
      <c r="J116" s="580">
        <v>52.801227935533383</v>
      </c>
      <c r="K116" s="580">
        <v>54.930795847750858</v>
      </c>
      <c r="L116" s="580">
        <v>61.683086792907893</v>
      </c>
      <c r="M116" s="580">
        <v>60.378636951995041</v>
      </c>
      <c r="N116" s="580">
        <v>59.418590297494127</v>
      </c>
    </row>
    <row r="117" spans="1:14" ht="14">
      <c r="A117" s="239"/>
      <c r="B117" s="576" t="s">
        <v>113</v>
      </c>
      <c r="C117" s="580">
        <v>50</v>
      </c>
      <c r="D117" s="580">
        <v>46.971944135459147</v>
      </c>
      <c r="E117" s="580">
        <v>63.972191930207202</v>
      </c>
      <c r="F117" s="580">
        <v>54.34873949579832</v>
      </c>
      <c r="G117" s="580">
        <v>65.218605950551748</v>
      </c>
      <c r="H117" s="580">
        <v>48.863119599818098</v>
      </c>
      <c r="I117" s="580">
        <v>51.066422912858023</v>
      </c>
      <c r="J117" s="580">
        <v>50</v>
      </c>
      <c r="K117" s="580">
        <v>50.26362038664324</v>
      </c>
      <c r="L117" s="580">
        <v>56.505102040816332</v>
      </c>
      <c r="M117" s="580">
        <v>60.252175814563763</v>
      </c>
      <c r="N117" s="580">
        <v>52.226074061603072</v>
      </c>
    </row>
    <row r="118" spans="1:14" ht="14">
      <c r="A118" s="239"/>
      <c r="B118" s="576" t="s">
        <v>114</v>
      </c>
      <c r="C118" s="580">
        <v>50</v>
      </c>
      <c r="D118" s="580">
        <v>57.953429859753001</v>
      </c>
      <c r="E118" s="580">
        <v>53.40389300932619</v>
      </c>
      <c r="F118" s="580">
        <v>34.158324814956202</v>
      </c>
      <c r="G118" s="580">
        <v>46.932115611054577</v>
      </c>
      <c r="H118" s="580">
        <v>52.291215220934028</v>
      </c>
      <c r="I118" s="580">
        <v>57.296517862356282</v>
      </c>
      <c r="J118" s="580">
        <v>50</v>
      </c>
      <c r="K118" s="580">
        <v>64.14480593885159</v>
      </c>
      <c r="L118" s="580">
        <v>74.810095732744827</v>
      </c>
      <c r="M118" s="580">
        <v>48.419957510850089</v>
      </c>
      <c r="N118" s="580">
        <v>54.310932244661153</v>
      </c>
    </row>
    <row r="119" spans="1:14" ht="14">
      <c r="A119" s="239"/>
      <c r="B119" s="576" t="s">
        <v>115</v>
      </c>
      <c r="C119" s="580">
        <v>50</v>
      </c>
      <c r="D119" s="580">
        <v>48.630136986301373</v>
      </c>
      <c r="E119" s="580">
        <v>51.569066965536557</v>
      </c>
      <c r="F119" s="580">
        <v>55.83834644454727</v>
      </c>
      <c r="G119" s="580">
        <v>60.854482380865448</v>
      </c>
      <c r="H119" s="580">
        <v>50.525872949095501</v>
      </c>
      <c r="I119" s="580">
        <v>56.977818853974128</v>
      </c>
      <c r="J119" s="580">
        <v>32.84727551803531</v>
      </c>
      <c r="K119" s="580">
        <v>59.776536312849139</v>
      </c>
      <c r="L119" s="580">
        <v>48.33656684370348</v>
      </c>
      <c r="M119" s="580">
        <v>47.492114876493048</v>
      </c>
      <c r="N119" s="580">
        <v>62.623780984917822</v>
      </c>
    </row>
    <row r="120" spans="1:14" ht="14">
      <c r="A120" s="240"/>
      <c r="B120" s="577" t="s">
        <v>116</v>
      </c>
      <c r="C120" s="582">
        <v>50</v>
      </c>
      <c r="D120" s="582">
        <v>62.161710658202473</v>
      </c>
      <c r="E120" s="582">
        <v>57.526730444569523</v>
      </c>
      <c r="F120" s="582">
        <v>58.818897637795281</v>
      </c>
      <c r="G120" s="582">
        <v>63.45524542829645</v>
      </c>
      <c r="H120" s="582">
        <v>49.420935412026722</v>
      </c>
      <c r="I120" s="582">
        <v>82.46913580246914</v>
      </c>
      <c r="J120" s="582">
        <v>52.498063516653758</v>
      </c>
      <c r="K120" s="582">
        <v>89.305816135084413</v>
      </c>
      <c r="L120" s="582">
        <v>46.241979835013737</v>
      </c>
      <c r="M120" s="582">
        <v>60.840049910632992</v>
      </c>
      <c r="N120" s="582">
        <v>67.354132515945963</v>
      </c>
    </row>
    <row r="121" spans="1:14" ht="14">
      <c r="A121" s="238">
        <v>2024</v>
      </c>
      <c r="B121" s="575" t="s">
        <v>105</v>
      </c>
      <c r="C121" s="578">
        <v>50</v>
      </c>
      <c r="D121" s="578">
        <v>50</v>
      </c>
      <c r="E121" s="578">
        <v>45.706896551724142</v>
      </c>
      <c r="F121" s="578">
        <v>52.779410036432012</v>
      </c>
      <c r="G121" s="578">
        <v>47.674578131430899</v>
      </c>
      <c r="H121" s="578">
        <v>10.87941976427925</v>
      </c>
      <c r="I121" s="578">
        <v>61.321303841676347</v>
      </c>
      <c r="J121" s="578">
        <v>72.09170140204624</v>
      </c>
      <c r="K121" s="578">
        <v>55.397727272727273</v>
      </c>
      <c r="L121" s="578">
        <v>22.883964296706662</v>
      </c>
      <c r="M121" s="578">
        <v>24.42813246841925</v>
      </c>
      <c r="N121" s="578">
        <v>62.014755959137368</v>
      </c>
    </row>
    <row r="122" spans="1:14" ht="14">
      <c r="A122" s="239"/>
      <c r="B122" s="576" t="s">
        <v>106</v>
      </c>
      <c r="C122" s="580">
        <v>50</v>
      </c>
      <c r="D122" s="580">
        <v>53.505342715663282</v>
      </c>
      <c r="E122" s="580">
        <v>60.977265015269758</v>
      </c>
      <c r="F122" s="580">
        <v>75.281906714505396</v>
      </c>
      <c r="G122" s="580">
        <v>78.902481047553422</v>
      </c>
      <c r="H122" s="580">
        <v>78.988603988603984</v>
      </c>
      <c r="I122" s="580">
        <v>65.610189573459721</v>
      </c>
      <c r="J122" s="580">
        <v>51.345206517620312</v>
      </c>
      <c r="K122" s="580">
        <v>45.469255663430417</v>
      </c>
      <c r="L122" s="580">
        <v>38.765432098765437</v>
      </c>
      <c r="M122" s="580">
        <v>31.103360811667709</v>
      </c>
      <c r="N122" s="580">
        <v>51.804562478719802</v>
      </c>
    </row>
    <row r="123" spans="1:14" ht="14">
      <c r="A123" s="239"/>
      <c r="B123" s="576" t="s">
        <v>107</v>
      </c>
      <c r="C123" s="580">
        <v>50</v>
      </c>
      <c r="D123" s="580">
        <v>53.438235658530537</v>
      </c>
      <c r="E123" s="580">
        <v>59.409474367293967</v>
      </c>
      <c r="F123" s="580">
        <v>53.570501168527649</v>
      </c>
      <c r="G123" s="580">
        <v>72.889085025007347</v>
      </c>
      <c r="H123" s="580">
        <v>47.505938242280287</v>
      </c>
      <c r="I123" s="580">
        <v>57.465675057208259</v>
      </c>
      <c r="J123" s="580">
        <v>55.77870405456612</v>
      </c>
      <c r="K123" s="580">
        <v>57.096774193548377</v>
      </c>
      <c r="L123" s="580">
        <v>84.230324074074076</v>
      </c>
      <c r="M123" s="580">
        <v>24.367737525632251</v>
      </c>
      <c r="N123" s="580">
        <v>57.014560527154863</v>
      </c>
    </row>
    <row r="124" spans="1:14" ht="14">
      <c r="A124" s="239"/>
      <c r="B124" s="576" t="s">
        <v>108</v>
      </c>
      <c r="C124" s="580">
        <v>50</v>
      </c>
      <c r="D124" s="580">
        <v>53.318718791864569</v>
      </c>
      <c r="E124" s="580">
        <v>52.668024439918533</v>
      </c>
      <c r="F124" s="580">
        <v>71.659163987138271</v>
      </c>
      <c r="G124" s="580">
        <v>46.658227848101284</v>
      </c>
      <c r="H124" s="580">
        <v>23.993875765529321</v>
      </c>
      <c r="I124" s="580">
        <v>56.234866828087142</v>
      </c>
      <c r="J124" s="580">
        <v>62.157330154946372</v>
      </c>
      <c r="K124" s="580">
        <v>49.679487179487182</v>
      </c>
      <c r="L124" s="580">
        <v>74.025115664243216</v>
      </c>
      <c r="M124" s="580">
        <v>82.156260661890144</v>
      </c>
      <c r="N124" s="580">
        <v>53.63768439874832</v>
      </c>
    </row>
    <row r="125" spans="1:14" ht="14">
      <c r="A125" s="239"/>
      <c r="B125" s="576" t="s">
        <v>109</v>
      </c>
      <c r="C125" s="580">
        <v>50</v>
      </c>
      <c r="D125" s="580">
        <v>54.80815637065637</v>
      </c>
      <c r="E125" s="580">
        <v>55.489510489510479</v>
      </c>
      <c r="F125" s="580">
        <v>58.654482849953638</v>
      </c>
      <c r="G125" s="580">
        <v>50.166112956810643</v>
      </c>
      <c r="H125" s="580">
        <v>53.937007874015748</v>
      </c>
      <c r="I125" s="580">
        <v>49.130434782608667</v>
      </c>
      <c r="J125" s="580">
        <v>51.345206517620312</v>
      </c>
      <c r="K125" s="580">
        <v>50.471698113207538</v>
      </c>
      <c r="L125" s="580">
        <v>55.690591935945093</v>
      </c>
      <c r="M125" s="580">
        <v>50.65217391304347</v>
      </c>
      <c r="N125" s="580">
        <v>58.901169653396302</v>
      </c>
    </row>
    <row r="126" spans="1:14" ht="14">
      <c r="A126" s="239"/>
      <c r="B126" s="576" t="s">
        <v>110</v>
      </c>
      <c r="C126" s="580">
        <v>50</v>
      </c>
      <c r="D126" s="580">
        <v>48.712754835337172</v>
      </c>
      <c r="E126" s="580">
        <v>62.347070186735351</v>
      </c>
      <c r="F126" s="580">
        <v>39.473321384254767</v>
      </c>
      <c r="G126" s="580">
        <v>55.110536893482639</v>
      </c>
      <c r="H126" s="580">
        <v>54.549431321084867</v>
      </c>
      <c r="I126" s="580">
        <v>58.150183150183167</v>
      </c>
      <c r="J126" s="580">
        <v>51.64835164835165</v>
      </c>
      <c r="K126" s="580">
        <v>50</v>
      </c>
      <c r="L126" s="580">
        <v>71.59150498164658</v>
      </c>
      <c r="M126" s="580">
        <v>22.48706577974869</v>
      </c>
      <c r="N126" s="580">
        <v>57.071734475374747</v>
      </c>
    </row>
    <row r="127" spans="1:14" ht="14">
      <c r="A127" s="239"/>
      <c r="B127" s="576" t="s">
        <v>117</v>
      </c>
      <c r="C127" s="580">
        <v>50</v>
      </c>
      <c r="D127" s="580">
        <v>88.483349420849422</v>
      </c>
      <c r="E127" s="580">
        <v>47.741379310344819</v>
      </c>
      <c r="F127" s="580">
        <v>52.647259107933259</v>
      </c>
      <c r="G127" s="580">
        <v>50.196917808219183</v>
      </c>
      <c r="H127" s="580">
        <v>85.192475940507421</v>
      </c>
      <c r="I127" s="580">
        <v>47.237076648841359</v>
      </c>
      <c r="J127" s="580">
        <v>54.098031337886702</v>
      </c>
      <c r="K127" s="580">
        <v>50.158227848101262</v>
      </c>
      <c r="L127" s="580">
        <v>43.48681166126795</v>
      </c>
      <c r="M127" s="580">
        <v>77.060931899641588</v>
      </c>
      <c r="N127" s="580">
        <v>51.105117747664778</v>
      </c>
    </row>
    <row r="128" spans="1:14" ht="14">
      <c r="A128" s="239"/>
      <c r="B128" s="576" t="s">
        <v>112</v>
      </c>
      <c r="C128" s="580">
        <v>50</v>
      </c>
      <c r="D128" s="580">
        <v>65.812084257206237</v>
      </c>
      <c r="E128" s="580">
        <v>59.214263174503003</v>
      </c>
      <c r="F128" s="580">
        <v>63.889615485221029</v>
      </c>
      <c r="G128" s="580">
        <v>56.18949838662364</v>
      </c>
      <c r="H128" s="580">
        <v>50.897920604914937</v>
      </c>
      <c r="I128" s="580">
        <v>60.517141196978507</v>
      </c>
      <c r="J128" s="580">
        <v>70.015396458814479</v>
      </c>
      <c r="K128" s="580">
        <v>52.134146341463413</v>
      </c>
      <c r="L128" s="580">
        <v>74.021435228331768</v>
      </c>
      <c r="M128" s="580">
        <v>51.025641025641022</v>
      </c>
      <c r="N128" s="580">
        <v>59.995525226535413</v>
      </c>
    </row>
    <row r="129" spans="1:14" ht="14">
      <c r="A129" s="239"/>
      <c r="B129" s="576" t="s">
        <v>113</v>
      </c>
      <c r="C129" s="580">
        <v>50</v>
      </c>
      <c r="D129" s="580">
        <v>53.351449275362313</v>
      </c>
      <c r="E129" s="580">
        <v>59.631147540983598</v>
      </c>
      <c r="F129" s="580">
        <v>40.01365912885111</v>
      </c>
      <c r="G129" s="580">
        <v>36.979089426071504</v>
      </c>
      <c r="H129" s="580">
        <v>82.545931758530173</v>
      </c>
      <c r="I129" s="580">
        <v>53.329538986909498</v>
      </c>
      <c r="J129" s="580">
        <v>55.74527922860586</v>
      </c>
      <c r="K129" s="580">
        <v>55.292479108635092</v>
      </c>
      <c r="L129" s="580">
        <v>56.0147507629705</v>
      </c>
      <c r="M129" s="580">
        <v>54.26092345832042</v>
      </c>
      <c r="N129" s="580">
        <v>65.006156946154732</v>
      </c>
    </row>
    <row r="130" spans="1:14" ht="14">
      <c r="A130" s="239"/>
      <c r="B130" s="576" t="s">
        <v>114</v>
      </c>
      <c r="C130" s="580">
        <v>50</v>
      </c>
      <c r="D130" s="580">
        <v>51.188465250965251</v>
      </c>
      <c r="E130" s="580">
        <v>55.158020274299339</v>
      </c>
      <c r="F130" s="580">
        <v>32.927995627817992</v>
      </c>
      <c r="G130" s="580">
        <v>55.600661554653442</v>
      </c>
      <c r="H130" s="580">
        <v>83.973735408560302</v>
      </c>
      <c r="I130" s="580">
        <v>46.314858490566053</v>
      </c>
      <c r="J130" s="580">
        <v>71.815990357573327</v>
      </c>
      <c r="K130" s="580">
        <v>53.212290502793287</v>
      </c>
      <c r="L130" s="580">
        <v>60.619023653749373</v>
      </c>
      <c r="M130" s="580">
        <v>47.778123057799867</v>
      </c>
      <c r="N130" s="580">
        <v>59.158324063774572</v>
      </c>
    </row>
    <row r="131" spans="1:14" ht="14">
      <c r="A131" s="239"/>
      <c r="B131" s="576" t="s">
        <v>115</v>
      </c>
      <c r="C131" s="580">
        <v>50</v>
      </c>
      <c r="D131" s="580">
        <v>52.027027027027017</v>
      </c>
      <c r="E131" s="580">
        <v>57.116727635517123</v>
      </c>
      <c r="F131" s="580">
        <v>47.507368960656173</v>
      </c>
      <c r="G131" s="580">
        <v>59.931113662456951</v>
      </c>
      <c r="H131" s="580">
        <v>81.889763779527556</v>
      </c>
      <c r="I131" s="580">
        <v>36.098852603706938</v>
      </c>
      <c r="J131" s="580">
        <v>56.372950819672127</v>
      </c>
      <c r="K131" s="580">
        <v>46.119402985074629</v>
      </c>
      <c r="L131" s="580">
        <v>77.230378317334839</v>
      </c>
      <c r="M131" s="580">
        <v>16.361717100633339</v>
      </c>
      <c r="N131" s="580">
        <v>48.345451847455116</v>
      </c>
    </row>
    <row r="132" spans="1:14" ht="14">
      <c r="A132" s="240"/>
      <c r="B132" s="577" t="s">
        <v>116</v>
      </c>
      <c r="C132" s="582">
        <v>50</v>
      </c>
      <c r="D132" s="582">
        <v>73.348761571178372</v>
      </c>
      <c r="E132" s="582">
        <v>64.998342724560814</v>
      </c>
      <c r="F132" s="582">
        <v>49.032047089601043</v>
      </c>
      <c r="G132" s="582">
        <v>82.136380123322454</v>
      </c>
      <c r="H132" s="582">
        <v>13.76459143968872</v>
      </c>
      <c r="I132" s="582">
        <v>83.136645962732928</v>
      </c>
      <c r="J132" s="582">
        <v>56.508638007231824</v>
      </c>
      <c r="K132" s="582">
        <v>51.245551601423493</v>
      </c>
      <c r="L132" s="582">
        <v>73.423206547905622</v>
      </c>
      <c r="M132" s="582">
        <v>89.063128266988343</v>
      </c>
      <c r="N132" s="582">
        <v>60.192050565212107</v>
      </c>
    </row>
    <row r="133" spans="1:14" ht="14">
      <c r="A133" s="238">
        <v>2025</v>
      </c>
      <c r="B133" s="575" t="s">
        <v>105</v>
      </c>
      <c r="C133" s="578">
        <v>50</v>
      </c>
      <c r="D133" s="578">
        <v>69.760181637576252</v>
      </c>
      <c r="E133" s="578">
        <v>48.021462105969157</v>
      </c>
      <c r="F133" s="578">
        <v>65.635252013122567</v>
      </c>
      <c r="G133" s="578">
        <v>73.243031016882597</v>
      </c>
      <c r="H133" s="578">
        <v>76.724521584334667</v>
      </c>
      <c r="I133" s="578">
        <v>39.12103746397694</v>
      </c>
      <c r="J133" s="578">
        <v>73.199829569663422</v>
      </c>
      <c r="K133" s="578">
        <v>54.4973544973545</v>
      </c>
      <c r="L133" s="578">
        <v>58.335487205996351</v>
      </c>
      <c r="M133" s="578">
        <v>48.412421493370552</v>
      </c>
      <c r="N133" s="578">
        <v>57.953954214360017</v>
      </c>
    </row>
    <row r="134" spans="1:14" ht="14">
      <c r="A134" s="239"/>
      <c r="B134" s="576" t="s">
        <v>106</v>
      </c>
      <c r="C134" s="580">
        <v>50</v>
      </c>
      <c r="D134" s="580">
        <v>70.393634840871002</v>
      </c>
      <c r="E134" s="580">
        <v>57.876344086021497</v>
      </c>
      <c r="F134" s="580">
        <v>69.80314473195493</v>
      </c>
      <c r="G134" s="580">
        <v>83.471410006497734</v>
      </c>
      <c r="H134" s="580">
        <v>20.96342551293489</v>
      </c>
      <c r="I134" s="580">
        <v>68.700475435816173</v>
      </c>
      <c r="J134" s="580">
        <v>75.593824228028524</v>
      </c>
      <c r="K134" s="580">
        <v>42.55952380952381</v>
      </c>
      <c r="L134" s="580">
        <v>15.761141712568859</v>
      </c>
      <c r="M134" s="580">
        <v>18.11009817671809</v>
      </c>
      <c r="N134" s="580">
        <v>41.465343687086552</v>
      </c>
    </row>
    <row r="135" spans="1:14" ht="14">
      <c r="A135" s="239"/>
      <c r="B135" s="576" t="s">
        <v>107</v>
      </c>
      <c r="C135" s="580">
        <v>50</v>
      </c>
      <c r="D135" s="580">
        <v>70.101238843745847</v>
      </c>
      <c r="E135" s="580">
        <v>51.370262390670568</v>
      </c>
      <c r="F135" s="580">
        <v>63.407966675344937</v>
      </c>
      <c r="G135" s="580">
        <v>32.501252295875773</v>
      </c>
      <c r="H135" s="580">
        <v>78.081886960391614</v>
      </c>
      <c r="I135" s="580">
        <v>48.162544169611309</v>
      </c>
      <c r="J135" s="580">
        <v>52.334630350194551</v>
      </c>
      <c r="K135" s="580">
        <v>53.039513677811541</v>
      </c>
      <c r="L135" s="580">
        <v>85.322119961916883</v>
      </c>
      <c r="M135" s="580">
        <v>82.288774295914322</v>
      </c>
      <c r="N135" s="580">
        <v>38.448844884488452</v>
      </c>
    </row>
    <row r="136" spans="1:14" ht="14">
      <c r="A136" s="239"/>
      <c r="B136" s="576" t="s">
        <v>108</v>
      </c>
      <c r="C136" s="580">
        <v>50</v>
      </c>
      <c r="D136" s="580">
        <v>55.056036678553241</v>
      </c>
      <c r="E136" s="580">
        <v>57.411535246586787</v>
      </c>
      <c r="F136" s="580">
        <v>68.389406836913921</v>
      </c>
      <c r="G136" s="580">
        <v>49.444609004739327</v>
      </c>
      <c r="H136" s="580">
        <v>18.433682373472951</v>
      </c>
      <c r="I136" s="580">
        <v>69.012605042016787</v>
      </c>
      <c r="J136" s="580">
        <v>61.22620380739081</v>
      </c>
      <c r="K136" s="580">
        <v>52.914110429447852</v>
      </c>
      <c r="L136" s="580">
        <v>61.305732484076422</v>
      </c>
      <c r="M136" s="580">
        <v>57.189277010560517</v>
      </c>
      <c r="N136" s="580">
        <v>60.459183673469411</v>
      </c>
    </row>
    <row r="137" spans="1:14" ht="14">
      <c r="A137" s="239"/>
      <c r="B137" s="576" t="s">
        <v>109</v>
      </c>
      <c r="C137" s="580">
        <v>50</v>
      </c>
      <c r="D137" s="580">
        <v>73.740628699197686</v>
      </c>
      <c r="E137" s="580">
        <v>53.160453808752017</v>
      </c>
      <c r="F137" s="580">
        <v>49.523809523809518</v>
      </c>
      <c r="G137" s="580">
        <v>45.423092131277187</v>
      </c>
      <c r="H137" s="580">
        <v>73.204830842806331</v>
      </c>
      <c r="I137" s="580">
        <v>44.751131221719461</v>
      </c>
      <c r="J137" s="580">
        <v>69.445478228507625</v>
      </c>
      <c r="K137" s="580">
        <v>70.063694267515928</v>
      </c>
      <c r="L137" s="580">
        <v>48.822486705495059</v>
      </c>
      <c r="M137" s="580">
        <v>31.08614232209737</v>
      </c>
      <c r="N137" s="580">
        <v>49.617730356545778</v>
      </c>
    </row>
    <row r="138" spans="1:14" ht="14">
      <c r="A138" s="239"/>
      <c r="B138" s="576" t="s">
        <v>110</v>
      </c>
      <c r="C138" s="584">
        <v>50</v>
      </c>
      <c r="D138" s="585">
        <v>72.473146111039199</v>
      </c>
      <c r="E138" s="585">
        <v>56.385096700796353</v>
      </c>
      <c r="F138" s="585">
        <v>41.775996112730823</v>
      </c>
      <c r="G138" s="585">
        <v>41.187459389213757</v>
      </c>
      <c r="H138" s="585">
        <v>63.669673072654959</v>
      </c>
      <c r="I138" s="585">
        <v>56.165540540540562</v>
      </c>
      <c r="J138" s="585">
        <v>84.706546275395027</v>
      </c>
      <c r="K138" s="585">
        <v>58.386075949367083</v>
      </c>
      <c r="L138" s="585">
        <v>54.92038632210911</v>
      </c>
      <c r="M138" s="585">
        <v>79.606507756337493</v>
      </c>
      <c r="N138" s="585">
        <v>59.717797534022793</v>
      </c>
    </row>
    <row r="139" spans="1:14" ht="14">
      <c r="A139" s="239"/>
      <c r="B139" s="576" t="s">
        <v>117</v>
      </c>
      <c r="C139" s="584">
        <v>50</v>
      </c>
      <c r="D139" s="585">
        <v>54.780793319415451</v>
      </c>
      <c r="E139" s="585">
        <v>49.313668224299072</v>
      </c>
      <c r="F139" s="585">
        <v>51.091355883203242</v>
      </c>
      <c r="G139" s="585">
        <v>38.888888888888893</v>
      </c>
      <c r="H139" s="585">
        <v>91.582698262480847</v>
      </c>
      <c r="I139" s="585">
        <v>46.738197424892697</v>
      </c>
      <c r="J139" s="585">
        <v>56.152125279642057</v>
      </c>
      <c r="K139" s="585">
        <v>56.677018633540357</v>
      </c>
      <c r="L139" s="585">
        <v>57.79952550415188</v>
      </c>
      <c r="M139" s="585">
        <v>22.327520849128121</v>
      </c>
      <c r="N139" s="585">
        <v>59.883332140867907</v>
      </c>
    </row>
    <row r="140" spans="1:14" ht="14">
      <c r="A140" s="239"/>
      <c r="B140" s="576" t="s">
        <v>112</v>
      </c>
      <c r="C140" s="584">
        <v>50</v>
      </c>
      <c r="D140" s="585">
        <v>41.973337036522722</v>
      </c>
      <c r="E140" s="585">
        <v>59.780439121756487</v>
      </c>
      <c r="F140" s="585">
        <v>64.257313263277467</v>
      </c>
      <c r="G140" s="585">
        <v>64.194139194139197</v>
      </c>
      <c r="H140" s="585">
        <v>15.22369012913526</v>
      </c>
      <c r="I140" s="585">
        <v>55.455153949129851</v>
      </c>
      <c r="J140" s="585">
        <v>68.932584269662939</v>
      </c>
      <c r="K140" s="585">
        <v>51.769911504424783</v>
      </c>
      <c r="L140" s="585">
        <v>58.017621145374449</v>
      </c>
      <c r="M140" s="585">
        <v>81.138081973736575</v>
      </c>
      <c r="N140" s="585">
        <v>48.398970142599538</v>
      </c>
    </row>
    <row r="141" spans="1:14" ht="14">
      <c r="A141" s="239"/>
      <c r="B141" s="576" t="s">
        <v>113</v>
      </c>
      <c r="C141" s="584">
        <v>50</v>
      </c>
      <c r="D141" s="585">
        <v>40.745554035567729</v>
      </c>
      <c r="E141" s="585">
        <v>57.44047619047619</v>
      </c>
      <c r="F141" s="585">
        <v>58.252812706816677</v>
      </c>
      <c r="G141" s="585">
        <v>58.524154232530648</v>
      </c>
      <c r="H141" s="585">
        <v>74.23680194011726</v>
      </c>
      <c r="I141" s="585">
        <v>59.898762654668161</v>
      </c>
      <c r="J141" s="585">
        <v>73.856932153392336</v>
      </c>
      <c r="K141" s="585">
        <v>50</v>
      </c>
      <c r="L141" s="585">
        <v>68.268456375838923</v>
      </c>
      <c r="M141" s="585">
        <v>21.269399124552319</v>
      </c>
      <c r="N141" s="585">
        <v>51.24856217378337</v>
      </c>
    </row>
    <row r="142" spans="1:14" ht="14">
      <c r="A142" s="239"/>
      <c r="B142" s="576" t="s">
        <v>114</v>
      </c>
      <c r="C142" s="584">
        <v>50</v>
      </c>
      <c r="D142" s="585">
        <v>38.996054362121882</v>
      </c>
      <c r="E142" s="585">
        <v>55.04807692307692</v>
      </c>
      <c r="F142" s="585">
        <v>37.122634695941088</v>
      </c>
      <c r="G142" s="585">
        <v>54.161770466118298</v>
      </c>
      <c r="H142" s="585">
        <v>83.962175744090445</v>
      </c>
      <c r="I142" s="585">
        <v>49.816446402349477</v>
      </c>
      <c r="J142" s="585">
        <v>58.164019209456967</v>
      </c>
      <c r="K142" s="585">
        <v>48.92307692307692</v>
      </c>
      <c r="L142" s="585">
        <v>66.29274965800272</v>
      </c>
      <c r="M142" s="585">
        <v>48.702635914332788</v>
      </c>
      <c r="N142" s="585">
        <v>52.972103397203128</v>
      </c>
    </row>
    <row r="143" spans="1:14" ht="14">
      <c r="A143" s="239"/>
      <c r="B143" s="576" t="s">
        <v>115</v>
      </c>
      <c r="C143" s="584">
        <v>50</v>
      </c>
      <c r="D143" s="585">
        <v>55.522914218566392</v>
      </c>
      <c r="E143" s="585">
        <v>61.272727272727273</v>
      </c>
      <c r="F143" s="585">
        <v>58.285714285714278</v>
      </c>
      <c r="G143" s="585">
        <v>64.073071718538571</v>
      </c>
      <c r="H143" s="585">
        <v>87.830396475770925</v>
      </c>
      <c r="I143" s="585">
        <v>48.227474150664698</v>
      </c>
      <c r="J143" s="585">
        <v>57.919746568109822</v>
      </c>
      <c r="K143" s="585">
        <v>50.352112676056343</v>
      </c>
      <c r="L143" s="585">
        <v>56.471494607087827</v>
      </c>
      <c r="M143" s="585">
        <v>20.176544766708702</v>
      </c>
      <c r="N143" s="585">
        <v>26.917712691771271</v>
      </c>
    </row>
    <row r="144" spans="1:14" ht="14">
      <c r="A144" s="240"/>
      <c r="B144" s="577" t="s">
        <v>116</v>
      </c>
      <c r="C144" s="586">
        <v>50</v>
      </c>
      <c r="D144" s="587">
        <v>60.540355677154601</v>
      </c>
      <c r="E144" s="587">
        <v>69.502617801047109</v>
      </c>
      <c r="F144" s="587">
        <v>55.530216647662492</v>
      </c>
      <c r="G144" s="587">
        <v>64.952517469987455</v>
      </c>
      <c r="H144" s="587">
        <v>9.2670961586907126</v>
      </c>
      <c r="I144" s="587">
        <v>63.886703383162882</v>
      </c>
      <c r="J144" s="587">
        <v>55.261234928754106</v>
      </c>
      <c r="K144" s="587">
        <v>49.684542586750787</v>
      </c>
      <c r="L144" s="587">
        <v>49.288405190456302</v>
      </c>
      <c r="M144" s="587">
        <v>81.309436722750547</v>
      </c>
      <c r="N144" s="587">
        <v>58.886051133760162</v>
      </c>
    </row>
    <row r="145" spans="1:14" ht="14">
      <c r="A145" s="238">
        <v>2026</v>
      </c>
      <c r="B145" s="575" t="s">
        <v>105</v>
      </c>
      <c r="C145" s="684">
        <v>50</v>
      </c>
      <c r="D145" s="685">
        <v>50.223807525528038</v>
      </c>
      <c r="E145" s="685">
        <v>54.943656852053799</v>
      </c>
      <c r="F145" s="685">
        <v>66.945646041000572</v>
      </c>
      <c r="G145" s="685">
        <v>65.721800116890705</v>
      </c>
      <c r="H145" s="685">
        <v>30.229631959735769</v>
      </c>
      <c r="I145" s="685">
        <v>64.240506329113927</v>
      </c>
      <c r="J145" s="685">
        <v>43.349660889223813</v>
      </c>
      <c r="K145" s="685">
        <v>54.501216545012163</v>
      </c>
      <c r="L145" s="685">
        <v>39.370967741935488</v>
      </c>
      <c r="M145" s="685">
        <v>11.589782691574531</v>
      </c>
      <c r="N145" s="685">
        <v>59.566254912970237</v>
      </c>
    </row>
    <row r="146" spans="1:14" ht="14">
      <c r="A146" s="239"/>
      <c r="B146" s="576" t="s">
        <v>106</v>
      </c>
      <c r="C146" s="584">
        <v>50</v>
      </c>
      <c r="D146" s="585">
        <v>50.416898276820447</v>
      </c>
      <c r="E146" s="585">
        <v>54.625274380683599</v>
      </c>
      <c r="F146" s="585">
        <v>77.754237288135585</v>
      </c>
      <c r="G146" s="585">
        <v>70.279844137442439</v>
      </c>
      <c r="H146" s="585">
        <v>87.672738693467338</v>
      </c>
      <c r="I146" s="585">
        <v>73.008534850640117</v>
      </c>
      <c r="J146" s="585">
        <v>51.440443213296398</v>
      </c>
      <c r="K146" s="585">
        <v>53.642384105960268</v>
      </c>
      <c r="L146" s="585">
        <v>48.908699661850598</v>
      </c>
      <c r="M146" s="585">
        <v>21.838389906878941</v>
      </c>
      <c r="N146" s="585">
        <v>70.741522628315082</v>
      </c>
    </row>
    <row r="147" spans="1:14" ht="14">
      <c r="A147" s="240"/>
      <c r="B147" s="577" t="s">
        <v>412</v>
      </c>
      <c r="C147" s="586">
        <v>50</v>
      </c>
      <c r="D147" s="587">
        <v>49.901172750032941</v>
      </c>
      <c r="E147" s="587">
        <v>54.684418145956606</v>
      </c>
      <c r="F147" s="587">
        <v>66.532130421019303</v>
      </c>
      <c r="G147" s="587">
        <v>21.319178558997571</v>
      </c>
      <c r="H147" s="587">
        <v>86.287061994609161</v>
      </c>
      <c r="I147" s="587">
        <v>37.352445193929171</v>
      </c>
      <c r="J147" s="587">
        <v>54.70610119047619</v>
      </c>
      <c r="K147" s="587">
        <v>48.021108179419528</v>
      </c>
      <c r="L147" s="587">
        <v>86.835650040883067</v>
      </c>
      <c r="M147" s="587">
        <v>85.511756569847861</v>
      </c>
      <c r="N147" s="587">
        <v>60.817046688382192</v>
      </c>
    </row>
    <row r="148" spans="1:14">
      <c r="C148" s="118"/>
    </row>
    <row r="149" spans="1:14" ht="14">
      <c r="A149" s="823" t="s">
        <v>348</v>
      </c>
      <c r="B149" s="823"/>
      <c r="C149" s="823"/>
      <c r="D149" s="823"/>
      <c r="E149" s="823"/>
      <c r="F149" s="823"/>
      <c r="G149" s="823"/>
      <c r="H149" s="823"/>
      <c r="I149" s="823"/>
      <c r="J149" s="823"/>
      <c r="K149" s="823"/>
      <c r="L149" s="823"/>
      <c r="M149" s="823"/>
      <c r="N149" s="823"/>
    </row>
    <row r="150" spans="1:14" ht="18.649999999999999" customHeight="1">
      <c r="A150" s="717" t="s">
        <v>98</v>
      </c>
      <c r="B150" s="718"/>
      <c r="C150" s="721" t="s">
        <v>322</v>
      </c>
      <c r="D150" s="824" t="s">
        <v>336</v>
      </c>
      <c r="E150" s="825"/>
      <c r="F150" s="825"/>
      <c r="G150" s="825"/>
      <c r="H150" s="825"/>
      <c r="I150" s="825"/>
      <c r="J150" s="825"/>
      <c r="K150" s="825"/>
      <c r="L150" s="825"/>
      <c r="M150" s="825"/>
      <c r="N150" s="826"/>
    </row>
    <row r="151" spans="1:14" ht="62.15" customHeight="1">
      <c r="A151" s="751"/>
      <c r="B151" s="752"/>
      <c r="C151" s="722"/>
      <c r="D151" s="376" t="s">
        <v>337</v>
      </c>
      <c r="E151" s="376" t="s">
        <v>215</v>
      </c>
      <c r="F151" s="376" t="s">
        <v>338</v>
      </c>
      <c r="G151" s="376" t="s">
        <v>339</v>
      </c>
      <c r="H151" s="376" t="s">
        <v>340</v>
      </c>
      <c r="I151" s="376" t="s">
        <v>341</v>
      </c>
      <c r="J151" s="277" t="s">
        <v>342</v>
      </c>
      <c r="K151" s="277" t="s">
        <v>343</v>
      </c>
      <c r="L151" s="277" t="s">
        <v>344</v>
      </c>
      <c r="M151" s="281" t="s">
        <v>345</v>
      </c>
      <c r="N151" s="281" t="s">
        <v>346</v>
      </c>
    </row>
    <row r="152" spans="1:14" ht="14">
      <c r="A152" s="238">
        <v>2020</v>
      </c>
      <c r="B152" s="572" t="s">
        <v>112</v>
      </c>
      <c r="C152" s="579">
        <v>50</v>
      </c>
      <c r="D152" s="578">
        <v>66.394606103619566</v>
      </c>
      <c r="E152" s="578">
        <v>52.99038803844784</v>
      </c>
      <c r="F152" s="578">
        <v>53.265492102065608</v>
      </c>
      <c r="G152" s="578">
        <v>60.560378847671657</v>
      </c>
      <c r="H152" s="578">
        <v>51.53920933246922</v>
      </c>
      <c r="I152" s="578">
        <v>61.714285714285722</v>
      </c>
      <c r="J152" s="578">
        <v>39.737869492470708</v>
      </c>
      <c r="K152" s="578">
        <v>54.769475357710647</v>
      </c>
      <c r="L152" s="579">
        <v>33.846902367823553</v>
      </c>
      <c r="M152" s="578">
        <v>54.952076677316292</v>
      </c>
      <c r="N152" s="578">
        <v>49.871382636655937</v>
      </c>
    </row>
    <row r="153" spans="1:14" ht="14">
      <c r="A153" s="239"/>
      <c r="B153" s="573" t="s">
        <v>113</v>
      </c>
      <c r="C153" s="581">
        <v>50</v>
      </c>
      <c r="D153" s="580">
        <v>54.792107117688502</v>
      </c>
      <c r="E153" s="580">
        <v>56.241184767277851</v>
      </c>
      <c r="F153" s="580">
        <v>47.559309402558668</v>
      </c>
      <c r="G153" s="580">
        <v>56.200506810262908</v>
      </c>
      <c r="H153" s="580">
        <v>58.132433301189337</v>
      </c>
      <c r="I153" s="580">
        <v>68.893838158871588</v>
      </c>
      <c r="J153" s="580">
        <v>50.620876988746602</v>
      </c>
      <c r="K153" s="580">
        <v>53.07570977917981</v>
      </c>
      <c r="L153" s="581">
        <v>64.081092992507706</v>
      </c>
      <c r="M153" s="580">
        <v>51.104502973661859</v>
      </c>
      <c r="N153" s="580">
        <v>59.807916181606529</v>
      </c>
    </row>
    <row r="154" spans="1:14" ht="14">
      <c r="A154" s="239"/>
      <c r="B154" s="573" t="s">
        <v>114</v>
      </c>
      <c r="C154" s="581">
        <v>50</v>
      </c>
      <c r="D154" s="580">
        <v>12.017756255044389</v>
      </c>
      <c r="E154" s="580">
        <v>51.019777503090232</v>
      </c>
      <c r="F154" s="580">
        <v>64.271614686142925</v>
      </c>
      <c r="G154" s="580">
        <v>56.877579092159557</v>
      </c>
      <c r="H154" s="580">
        <v>49.87904309649673</v>
      </c>
      <c r="I154" s="580">
        <v>58.200354609929079</v>
      </c>
      <c r="J154" s="580">
        <v>52.076057431121463</v>
      </c>
      <c r="K154" s="580">
        <v>53.312302839116718</v>
      </c>
      <c r="L154" s="581">
        <v>61.593984962405997</v>
      </c>
      <c r="M154" s="580">
        <v>36.816720257234721</v>
      </c>
      <c r="N154" s="580">
        <v>56.28332063975629</v>
      </c>
    </row>
    <row r="155" spans="1:14" ht="14">
      <c r="A155" s="239"/>
      <c r="B155" s="573" t="s">
        <v>115</v>
      </c>
      <c r="C155" s="581">
        <v>50</v>
      </c>
      <c r="D155" s="580">
        <v>25.182822467714331</v>
      </c>
      <c r="E155" s="580">
        <v>52.810476751030023</v>
      </c>
      <c r="F155" s="580">
        <v>44.126056688214803</v>
      </c>
      <c r="G155" s="580">
        <v>50.239402900999863</v>
      </c>
      <c r="H155" s="580">
        <v>42.478272556222549</v>
      </c>
      <c r="I155" s="580">
        <v>65.150454863540944</v>
      </c>
      <c r="J155" s="580">
        <v>44.450911913077213</v>
      </c>
      <c r="K155" s="580">
        <v>54.278922345483352</v>
      </c>
      <c r="L155" s="581">
        <v>74.963332355529488</v>
      </c>
      <c r="M155" s="580">
        <v>79.595687331536396</v>
      </c>
      <c r="N155" s="580">
        <v>66.311769471126013</v>
      </c>
    </row>
    <row r="156" spans="1:14" ht="14">
      <c r="A156" s="239"/>
      <c r="B156" s="574" t="s">
        <v>116</v>
      </c>
      <c r="C156" s="583">
        <v>50</v>
      </c>
      <c r="D156" s="582">
        <v>46.001130422495407</v>
      </c>
      <c r="E156" s="582">
        <v>59.810479375696779</v>
      </c>
      <c r="F156" s="582">
        <v>74.809424809424826</v>
      </c>
      <c r="G156" s="582">
        <v>56.855575868372938</v>
      </c>
      <c r="H156" s="582">
        <v>55.580746424834317</v>
      </c>
      <c r="I156" s="582">
        <v>65.029985007496265</v>
      </c>
      <c r="J156" s="582">
        <v>48.331393092743497</v>
      </c>
      <c r="K156" s="582">
        <v>54.649265905383359</v>
      </c>
      <c r="L156" s="583">
        <v>77.158408408408405</v>
      </c>
      <c r="M156" s="582">
        <v>53.872437357630957</v>
      </c>
      <c r="N156" s="582">
        <v>54.67500644828479</v>
      </c>
    </row>
    <row r="157" spans="1:14" ht="14">
      <c r="A157" s="238">
        <v>2021</v>
      </c>
      <c r="B157" s="573" t="s">
        <v>105</v>
      </c>
      <c r="C157" s="581">
        <v>50</v>
      </c>
      <c r="D157" s="580">
        <v>56.742061765985213</v>
      </c>
      <c r="E157" s="580">
        <v>59.843205574912901</v>
      </c>
      <c r="F157" s="580">
        <v>70.446559297218158</v>
      </c>
      <c r="G157" s="580">
        <v>52.781598655051212</v>
      </c>
      <c r="H157" s="580">
        <v>49.855673822839613</v>
      </c>
      <c r="I157" s="580">
        <v>81.867339581831317</v>
      </c>
      <c r="J157" s="580">
        <v>52.182782537739698</v>
      </c>
      <c r="K157" s="580">
        <v>57.704654895666131</v>
      </c>
      <c r="L157" s="581">
        <v>53.776202219482123</v>
      </c>
      <c r="M157" s="578">
        <v>19.339622641509429</v>
      </c>
      <c r="N157" s="578">
        <v>47.460643394934998</v>
      </c>
    </row>
    <row r="158" spans="1:14" ht="14">
      <c r="A158" s="239"/>
      <c r="B158" s="573" t="s">
        <v>106</v>
      </c>
      <c r="C158" s="581">
        <v>50</v>
      </c>
      <c r="D158" s="580">
        <v>52.518551832696197</v>
      </c>
      <c r="E158" s="580">
        <v>53.169263456090647</v>
      </c>
      <c r="F158" s="580">
        <v>58.197682944713307</v>
      </c>
      <c r="G158" s="580">
        <v>59.490026732469673</v>
      </c>
      <c r="H158" s="580">
        <v>53.127025275437447</v>
      </c>
      <c r="I158" s="580">
        <v>72.194881889763792</v>
      </c>
      <c r="J158" s="580">
        <v>54.079967360261122</v>
      </c>
      <c r="K158" s="580">
        <v>47.904191616766468</v>
      </c>
      <c r="L158" s="581">
        <v>41.307420494699649</v>
      </c>
      <c r="M158" s="580">
        <v>53.304597701149433</v>
      </c>
      <c r="N158" s="580">
        <v>58.959253804614598</v>
      </c>
    </row>
    <row r="159" spans="1:14" ht="14">
      <c r="A159" s="239"/>
      <c r="B159" s="573" t="s">
        <v>107</v>
      </c>
      <c r="C159" s="581">
        <v>50</v>
      </c>
      <c r="D159" s="580">
        <v>44.166539576025627</v>
      </c>
      <c r="E159" s="580">
        <v>57.015842224377629</v>
      </c>
      <c r="F159" s="580">
        <v>67.021124750214113</v>
      </c>
      <c r="G159" s="580">
        <v>44.057122582934198</v>
      </c>
      <c r="H159" s="580">
        <v>45.198853457542093</v>
      </c>
      <c r="I159" s="580">
        <v>77.45825602968462</v>
      </c>
      <c r="J159" s="580">
        <v>50</v>
      </c>
      <c r="K159" s="580">
        <v>52.969502407704653</v>
      </c>
      <c r="L159" s="581">
        <v>51.736588720770307</v>
      </c>
      <c r="M159" s="580">
        <v>65.223214285714306</v>
      </c>
      <c r="N159" s="580">
        <v>61.923999495013241</v>
      </c>
    </row>
    <row r="160" spans="1:14" ht="14">
      <c r="A160" s="239"/>
      <c r="B160" s="573" t="s">
        <v>108</v>
      </c>
      <c r="C160" s="581">
        <v>50</v>
      </c>
      <c r="D160" s="580">
        <v>47.801314828341823</v>
      </c>
      <c r="E160" s="580">
        <v>58.11042524005488</v>
      </c>
      <c r="F160" s="580">
        <v>42.85320468642314</v>
      </c>
      <c r="G160" s="580">
        <v>64.984953089042307</v>
      </c>
      <c r="H160" s="580">
        <v>83.635097493036227</v>
      </c>
      <c r="I160" s="580">
        <v>69.271290605794576</v>
      </c>
      <c r="J160" s="580">
        <v>55.173305742369379</v>
      </c>
      <c r="K160" s="580">
        <v>50.412541254125408</v>
      </c>
      <c r="L160" s="581">
        <v>40.148468914321057</v>
      </c>
      <c r="M160" s="580">
        <v>32.372055239642563</v>
      </c>
      <c r="N160" s="580">
        <v>38.055670959700898</v>
      </c>
    </row>
    <row r="161" spans="1:14" ht="14">
      <c r="A161" s="239"/>
      <c r="B161" s="573" t="s">
        <v>109</v>
      </c>
      <c r="C161" s="581">
        <v>50</v>
      </c>
      <c r="D161" s="580">
        <v>57.651573292402141</v>
      </c>
      <c r="E161" s="580">
        <v>58.113207547169822</v>
      </c>
      <c r="F161" s="580">
        <v>50.07882291119283</v>
      </c>
      <c r="G161" s="580">
        <v>59.660362009355303</v>
      </c>
      <c r="H161" s="580">
        <v>50</v>
      </c>
      <c r="I161" s="580">
        <v>71.205597416576978</v>
      </c>
      <c r="J161" s="580">
        <v>50.489596083231334</v>
      </c>
      <c r="K161" s="580">
        <v>76.388888888888872</v>
      </c>
      <c r="L161" s="581">
        <v>61.100746268656721</v>
      </c>
      <c r="M161" s="580">
        <v>30.380794701986741</v>
      </c>
      <c r="N161" s="580">
        <v>72.439492325855966</v>
      </c>
    </row>
    <row r="162" spans="1:14" ht="14">
      <c r="A162" s="239"/>
      <c r="B162" s="573" t="s">
        <v>110</v>
      </c>
      <c r="C162" s="581">
        <v>50</v>
      </c>
      <c r="D162" s="580">
        <v>48.746867167919802</v>
      </c>
      <c r="E162" s="580">
        <v>60.429338103756713</v>
      </c>
      <c r="F162" s="580">
        <v>60.485807089394157</v>
      </c>
      <c r="G162" s="580">
        <v>46.87567567567568</v>
      </c>
      <c r="H162" s="580">
        <v>50.780418588151832</v>
      </c>
      <c r="I162" s="580">
        <v>79.441624365482241</v>
      </c>
      <c r="J162" s="580">
        <v>53.937168502651993</v>
      </c>
      <c r="K162" s="580">
        <v>49.592169657422509</v>
      </c>
      <c r="L162" s="581">
        <v>67.123576549978907</v>
      </c>
      <c r="M162" s="580">
        <v>56.346153846153811</v>
      </c>
      <c r="N162" s="580">
        <v>59.056544337690973</v>
      </c>
    </row>
    <row r="163" spans="1:14" ht="14">
      <c r="A163" s="239"/>
      <c r="B163" s="573" t="s">
        <v>117</v>
      </c>
      <c r="C163" s="581">
        <v>50</v>
      </c>
      <c r="D163" s="580">
        <v>60.418298605671339</v>
      </c>
      <c r="E163" s="580">
        <v>52.659574468085097</v>
      </c>
      <c r="F163" s="580">
        <v>47.892370380778402</v>
      </c>
      <c r="G163" s="580">
        <v>57.246989224593278</v>
      </c>
      <c r="H163" s="580">
        <v>48.838821490467943</v>
      </c>
      <c r="I163" s="580">
        <v>73.02006335797256</v>
      </c>
      <c r="J163" s="580">
        <v>67.197062423500611</v>
      </c>
      <c r="K163" s="580">
        <v>50.717703349282303</v>
      </c>
      <c r="L163" s="581">
        <v>60.11608623548922</v>
      </c>
      <c r="M163" s="580">
        <v>71.2363330529857</v>
      </c>
      <c r="N163" s="580">
        <v>62.84901415905783</v>
      </c>
    </row>
    <row r="164" spans="1:14" ht="14">
      <c r="A164" s="239"/>
      <c r="B164" s="573" t="s">
        <v>112</v>
      </c>
      <c r="C164" s="581">
        <v>50</v>
      </c>
      <c r="D164" s="580">
        <v>32.350644279578248</v>
      </c>
      <c r="E164" s="580">
        <v>52.970502700456997</v>
      </c>
      <c r="F164" s="580">
        <v>54.228257133035413</v>
      </c>
      <c r="G164" s="580">
        <v>50.539262062440883</v>
      </c>
      <c r="H164" s="580">
        <v>55.662393162393172</v>
      </c>
      <c r="I164" s="580">
        <v>71.172122492080263</v>
      </c>
      <c r="J164" s="580">
        <v>56.096020214782072</v>
      </c>
      <c r="K164" s="580">
        <v>44.728171334431643</v>
      </c>
      <c r="L164" s="581">
        <v>43.451178451178407</v>
      </c>
      <c r="M164" s="580">
        <v>67.626728110599089</v>
      </c>
      <c r="N164" s="580">
        <v>59.915942441943301</v>
      </c>
    </row>
    <row r="165" spans="1:14" ht="14">
      <c r="A165" s="239"/>
      <c r="B165" s="573" t="s">
        <v>113</v>
      </c>
      <c r="C165" s="581">
        <v>50</v>
      </c>
      <c r="D165" s="580">
        <v>20.376786487656961</v>
      </c>
      <c r="E165" s="580">
        <v>45.282014898900321</v>
      </c>
      <c r="F165" s="580">
        <v>57.30829970170204</v>
      </c>
      <c r="G165" s="580">
        <v>42.535956356422567</v>
      </c>
      <c r="H165" s="580">
        <v>52.820512820512818</v>
      </c>
      <c r="I165" s="580">
        <v>57.356321839080493</v>
      </c>
      <c r="J165" s="580">
        <v>21.620863712843509</v>
      </c>
      <c r="K165" s="580">
        <v>49.256198347107457</v>
      </c>
      <c r="L165" s="581">
        <v>48.054145516074421</v>
      </c>
      <c r="M165" s="580">
        <v>27.272727272727241</v>
      </c>
      <c r="N165" s="580">
        <v>42.612344815527187</v>
      </c>
    </row>
    <row r="166" spans="1:14" ht="14">
      <c r="A166" s="239"/>
      <c r="B166" s="573" t="s">
        <v>114</v>
      </c>
      <c r="C166" s="581">
        <v>50</v>
      </c>
      <c r="D166" s="580">
        <v>34.294427502079287</v>
      </c>
      <c r="E166" s="580">
        <v>46.754327563248999</v>
      </c>
      <c r="F166" s="580">
        <v>57.357293868921772</v>
      </c>
      <c r="G166" s="580">
        <v>50.799125168236877</v>
      </c>
      <c r="H166" s="580">
        <v>77.777777777777786</v>
      </c>
      <c r="I166" s="580">
        <v>53.072348860257677</v>
      </c>
      <c r="J166" s="580">
        <v>21.012658227848078</v>
      </c>
      <c r="K166" s="580">
        <v>44.582593250444063</v>
      </c>
      <c r="L166" s="581">
        <v>65.526134800550253</v>
      </c>
      <c r="M166" s="580">
        <v>48.5632183908046</v>
      </c>
      <c r="N166" s="580">
        <v>49.300810424280947</v>
      </c>
    </row>
    <row r="167" spans="1:14" ht="14">
      <c r="A167" s="239"/>
      <c r="B167" s="573" t="s">
        <v>115</v>
      </c>
      <c r="C167" s="581">
        <v>50</v>
      </c>
      <c r="D167" s="580">
        <v>42.245673833245931</v>
      </c>
      <c r="E167" s="580">
        <v>46.4661909616038</v>
      </c>
      <c r="F167" s="580">
        <v>49.424793956043963</v>
      </c>
      <c r="G167" s="580">
        <v>38.602045786653683</v>
      </c>
      <c r="H167" s="580">
        <v>77.777777777777786</v>
      </c>
      <c r="I167" s="580">
        <v>69.287548138639281</v>
      </c>
      <c r="J167" s="580">
        <v>44.01898734177216</v>
      </c>
      <c r="K167" s="580">
        <v>66.09195402298846</v>
      </c>
      <c r="L167" s="581">
        <v>61.818687430478313</v>
      </c>
      <c r="M167" s="580">
        <v>74.82269503546101</v>
      </c>
      <c r="N167" s="580">
        <v>55.63063063063062</v>
      </c>
    </row>
    <row r="168" spans="1:14" ht="14">
      <c r="A168" s="240"/>
      <c r="B168" s="574" t="s">
        <v>116</v>
      </c>
      <c r="C168" s="583">
        <v>50</v>
      </c>
      <c r="D168" s="582">
        <v>47.252675541634027</v>
      </c>
      <c r="E168" s="582">
        <v>48.563030698889612</v>
      </c>
      <c r="F168" s="582">
        <v>70.237292705945777</v>
      </c>
      <c r="G168" s="582">
        <v>42.276814386640972</v>
      </c>
      <c r="H168" s="588">
        <v>50</v>
      </c>
      <c r="I168" s="582">
        <v>69.863861386138609</v>
      </c>
      <c r="J168" s="588">
        <v>50</v>
      </c>
      <c r="K168" s="582">
        <v>51.632302405498287</v>
      </c>
      <c r="L168" s="582">
        <v>61.142322097378269</v>
      </c>
      <c r="M168" s="582">
        <v>62.997787610619469</v>
      </c>
      <c r="N168" s="582">
        <v>41.684402553967757</v>
      </c>
    </row>
    <row r="169" spans="1:14" ht="14">
      <c r="A169" s="238">
        <v>2022</v>
      </c>
      <c r="B169" s="575" t="s">
        <v>105</v>
      </c>
      <c r="C169" s="578">
        <v>50</v>
      </c>
      <c r="D169" s="578">
        <v>40.872016312822353</v>
      </c>
      <c r="E169" s="578">
        <v>51.219875037191308</v>
      </c>
      <c r="F169" s="578">
        <v>59.725653361071359</v>
      </c>
      <c r="G169" s="578">
        <v>59.660056657223791</v>
      </c>
      <c r="H169" s="578">
        <v>50</v>
      </c>
      <c r="I169" s="578">
        <v>53.903040262941659</v>
      </c>
      <c r="J169" s="578">
        <v>50</v>
      </c>
      <c r="K169" s="578">
        <v>51.382113821138212</v>
      </c>
      <c r="L169" s="578">
        <v>60.181518151815212</v>
      </c>
      <c r="M169" s="578">
        <v>59.571527297857642</v>
      </c>
      <c r="N169" s="578">
        <v>69.243654168277288</v>
      </c>
    </row>
    <row r="170" spans="1:14" ht="14">
      <c r="A170" s="239"/>
      <c r="B170" s="576" t="s">
        <v>106</v>
      </c>
      <c r="C170" s="580">
        <v>50</v>
      </c>
      <c r="D170" s="580">
        <v>37.621182743577307</v>
      </c>
      <c r="E170" s="580">
        <v>53.826376285541443</v>
      </c>
      <c r="F170" s="580">
        <v>67.443493806665799</v>
      </c>
      <c r="G170" s="580">
        <v>51.652823920265782</v>
      </c>
      <c r="H170" s="580">
        <v>50.876843363890004</v>
      </c>
      <c r="I170" s="580">
        <v>55.743440233236157</v>
      </c>
      <c r="J170" s="580">
        <v>54.181494661921697</v>
      </c>
      <c r="K170" s="580">
        <v>75.404530744336569</v>
      </c>
      <c r="L170" s="580">
        <v>48.208168642951257</v>
      </c>
      <c r="M170" s="580">
        <v>43.81654381654382</v>
      </c>
      <c r="N170" s="580">
        <v>60.080696810554628</v>
      </c>
    </row>
    <row r="171" spans="1:14" ht="14">
      <c r="A171" s="239"/>
      <c r="B171" s="576" t="s">
        <v>107</v>
      </c>
      <c r="C171" s="580">
        <v>50</v>
      </c>
      <c r="D171" s="580">
        <v>59.211653813196243</v>
      </c>
      <c r="E171" s="580">
        <v>51.572417772648578</v>
      </c>
      <c r="F171" s="580">
        <v>66.542503658374343</v>
      </c>
      <c r="G171" s="580">
        <v>44.086984850952923</v>
      </c>
      <c r="H171" s="580">
        <v>49.716666666666669</v>
      </c>
      <c r="I171" s="580">
        <v>51.614114114114123</v>
      </c>
      <c r="J171" s="580">
        <v>53.692170818505332</v>
      </c>
      <c r="K171" s="580">
        <v>50.932203389830512</v>
      </c>
      <c r="L171" s="580">
        <v>34.527336385671937</v>
      </c>
      <c r="M171" s="580">
        <v>49.328107502799547</v>
      </c>
      <c r="N171" s="580">
        <v>59.32791309749522</v>
      </c>
    </row>
    <row r="172" spans="1:14" ht="14">
      <c r="A172" s="239"/>
      <c r="B172" s="576" t="s">
        <v>108</v>
      </c>
      <c r="C172" s="580">
        <v>50</v>
      </c>
      <c r="D172" s="580">
        <v>58.724001473379772</v>
      </c>
      <c r="E172" s="580">
        <v>58.422126310956308</v>
      </c>
      <c r="F172" s="580">
        <v>33.827745810398739</v>
      </c>
      <c r="G172" s="580">
        <v>56.923706641170433</v>
      </c>
      <c r="H172" s="580">
        <v>49.829572860516528</v>
      </c>
      <c r="I172" s="580">
        <v>55.85896274144288</v>
      </c>
      <c r="J172" s="580">
        <v>49.840097096798523</v>
      </c>
      <c r="K172" s="580">
        <v>49.519198425555047</v>
      </c>
      <c r="L172" s="580">
        <v>50.183146563133747</v>
      </c>
      <c r="M172" s="580">
        <v>69.835698406237938</v>
      </c>
      <c r="N172" s="580">
        <v>61.319750820395463</v>
      </c>
    </row>
    <row r="173" spans="1:14" ht="14">
      <c r="A173" s="239"/>
      <c r="B173" s="576" t="s">
        <v>109</v>
      </c>
      <c r="C173" s="580">
        <v>50</v>
      </c>
      <c r="D173" s="580">
        <v>88.198834758894264</v>
      </c>
      <c r="E173" s="580">
        <v>49.1183879093199</v>
      </c>
      <c r="F173" s="580">
        <v>57.271917546761692</v>
      </c>
      <c r="G173" s="580">
        <v>45.693529059316937</v>
      </c>
      <c r="H173" s="580">
        <v>53.071833648393188</v>
      </c>
      <c r="I173" s="580">
        <v>52.777777777777779</v>
      </c>
      <c r="J173" s="580">
        <v>52.958185053380781</v>
      </c>
      <c r="K173" s="580">
        <v>51.40961857379768</v>
      </c>
      <c r="L173" s="580">
        <v>49.245033112582753</v>
      </c>
      <c r="M173" s="580">
        <v>79.933665008291882</v>
      </c>
      <c r="N173" s="580">
        <v>65.902352511793296</v>
      </c>
    </row>
    <row r="174" spans="1:14" ht="14">
      <c r="A174" s="239"/>
      <c r="B174" s="576" t="s">
        <v>110</v>
      </c>
      <c r="C174" s="580">
        <v>50</v>
      </c>
      <c r="D174" s="580">
        <v>78.543689320388339</v>
      </c>
      <c r="E174" s="580">
        <v>52.8928046989721</v>
      </c>
      <c r="F174" s="580">
        <v>66.134571355889094</v>
      </c>
      <c r="G174" s="580">
        <v>60.785091197462343</v>
      </c>
      <c r="H174" s="580">
        <v>50</v>
      </c>
      <c r="I174" s="580">
        <v>55.752212389380531</v>
      </c>
      <c r="J174" s="580">
        <v>54.270462633451963</v>
      </c>
      <c r="K174" s="580">
        <v>51.23203285420945</v>
      </c>
      <c r="L174" s="580">
        <v>57.536520584329352</v>
      </c>
      <c r="M174" s="580">
        <v>61.217075386012723</v>
      </c>
      <c r="N174" s="580">
        <v>61.439327166800943</v>
      </c>
    </row>
    <row r="175" spans="1:14" ht="14">
      <c r="A175" s="239"/>
      <c r="B175" s="576" t="s">
        <v>117</v>
      </c>
      <c r="C175" s="580">
        <v>50</v>
      </c>
      <c r="D175" s="580">
        <v>83.26612903225805</v>
      </c>
      <c r="E175" s="580">
        <v>50.762631077216398</v>
      </c>
      <c r="F175" s="580">
        <v>45.222837168657144</v>
      </c>
      <c r="G175" s="580">
        <v>54.779470729751402</v>
      </c>
      <c r="H175" s="580">
        <v>59.197860962566843</v>
      </c>
      <c r="I175" s="580">
        <v>54.078014184397162</v>
      </c>
      <c r="J175" s="580">
        <v>57.835276967930028</v>
      </c>
      <c r="K175" s="580">
        <v>52.301255230125527</v>
      </c>
      <c r="L175" s="580">
        <v>51.536423841059602</v>
      </c>
      <c r="M175" s="580">
        <v>74.374176548089594</v>
      </c>
      <c r="N175" s="580">
        <v>57.673119863337931</v>
      </c>
    </row>
    <row r="176" spans="1:14" ht="14">
      <c r="A176" s="239"/>
      <c r="B176" s="576" t="s">
        <v>112</v>
      </c>
      <c r="C176" s="580">
        <v>50</v>
      </c>
      <c r="D176" s="580">
        <v>51.249928967781209</v>
      </c>
      <c r="E176" s="580">
        <v>62.447654406884482</v>
      </c>
      <c r="F176" s="580">
        <v>58.288303869116604</v>
      </c>
      <c r="G176" s="580">
        <v>63.561047718895857</v>
      </c>
      <c r="H176" s="580">
        <v>50.194250496848383</v>
      </c>
      <c r="I176" s="580">
        <v>53.148033826092806</v>
      </c>
      <c r="J176" s="580">
        <v>50</v>
      </c>
      <c r="K176" s="580">
        <v>49.607188273574359</v>
      </c>
      <c r="L176" s="580">
        <v>45.571779862788937</v>
      </c>
      <c r="M176" s="580">
        <v>36.530463138057257</v>
      </c>
      <c r="N176" s="580">
        <v>60.005734835176298</v>
      </c>
    </row>
    <row r="177" spans="1:14" ht="14">
      <c r="A177" s="239"/>
      <c r="B177" s="576" t="s">
        <v>113</v>
      </c>
      <c r="C177" s="580">
        <v>50</v>
      </c>
      <c r="D177" s="580">
        <v>57.205882352941167</v>
      </c>
      <c r="E177" s="580">
        <v>51.424225663716811</v>
      </c>
      <c r="F177" s="580">
        <v>51.048088779284832</v>
      </c>
      <c r="G177" s="580">
        <v>38.433159722222207</v>
      </c>
      <c r="H177" s="580">
        <v>46.020539152759952</v>
      </c>
      <c r="I177" s="580">
        <v>45.232198142414859</v>
      </c>
      <c r="J177" s="580">
        <v>51.757117437722421</v>
      </c>
      <c r="K177" s="580">
        <v>63.039723661485297</v>
      </c>
      <c r="L177" s="580">
        <v>65.725288831835698</v>
      </c>
      <c r="M177" s="580">
        <v>43.973214285714292</v>
      </c>
      <c r="N177" s="580">
        <v>51.056665714677337</v>
      </c>
    </row>
    <row r="178" spans="1:14" ht="14">
      <c r="A178" s="239"/>
      <c r="B178" s="576" t="s">
        <v>114</v>
      </c>
      <c r="C178" s="580">
        <v>50</v>
      </c>
      <c r="D178" s="580">
        <v>45.356913183279737</v>
      </c>
      <c r="E178" s="580">
        <v>47.147514262428679</v>
      </c>
      <c r="F178" s="580">
        <v>52.27203877612844</v>
      </c>
      <c r="G178" s="580">
        <v>50.904317386231043</v>
      </c>
      <c r="H178" s="580">
        <v>76.356743814844364</v>
      </c>
      <c r="I178" s="580">
        <v>62.072892938496572</v>
      </c>
      <c r="J178" s="580">
        <v>50.994263862332687</v>
      </c>
      <c r="K178" s="580">
        <v>52.725366876310282</v>
      </c>
      <c r="L178" s="580">
        <v>47.97052984660111</v>
      </c>
      <c r="M178" s="580">
        <v>47.978818467524412</v>
      </c>
      <c r="N178" s="580">
        <v>53.237476673496559</v>
      </c>
    </row>
    <row r="179" spans="1:14" ht="14">
      <c r="A179" s="239"/>
      <c r="B179" s="576" t="s">
        <v>115</v>
      </c>
      <c r="C179" s="580">
        <v>50</v>
      </c>
      <c r="D179" s="580">
        <v>56.137416366443638</v>
      </c>
      <c r="E179" s="580">
        <v>62.511091393078956</v>
      </c>
      <c r="F179" s="580">
        <v>57.85986183561257</v>
      </c>
      <c r="G179" s="580">
        <v>53.832183073011258</v>
      </c>
      <c r="H179" s="580">
        <v>50.910596026490069</v>
      </c>
      <c r="I179" s="580">
        <v>52.761627906976742</v>
      </c>
      <c r="J179" s="580">
        <v>38.339694656488547</v>
      </c>
      <c r="K179" s="580">
        <v>53.628318584070797</v>
      </c>
      <c r="L179" s="580">
        <v>57.34784452715266</v>
      </c>
      <c r="M179" s="580">
        <v>57.761442065493974</v>
      </c>
      <c r="N179" s="580">
        <v>48.362557735555839</v>
      </c>
    </row>
    <row r="180" spans="1:14" ht="14">
      <c r="A180" s="240"/>
      <c r="B180" s="577" t="s">
        <v>116</v>
      </c>
      <c r="C180" s="582">
        <v>50</v>
      </c>
      <c r="D180" s="582">
        <v>49.510395707578809</v>
      </c>
      <c r="E180" s="582">
        <v>50.970126270403448</v>
      </c>
      <c r="F180" s="582">
        <v>41.824561403508753</v>
      </c>
      <c r="G180" s="582">
        <v>53.037348132593372</v>
      </c>
      <c r="H180" s="582">
        <v>47.594226142742578</v>
      </c>
      <c r="I180" s="582">
        <v>53.998797354179203</v>
      </c>
      <c r="J180" s="582">
        <v>55.305343511450381</v>
      </c>
      <c r="K180" s="582">
        <v>58.885017421602768</v>
      </c>
      <c r="L180" s="582">
        <v>56.24547492753058</v>
      </c>
      <c r="M180" s="582">
        <v>47.622950819672127</v>
      </c>
      <c r="N180" s="582">
        <v>60.917026481541548</v>
      </c>
    </row>
    <row r="181" spans="1:14" ht="14">
      <c r="A181" s="238">
        <v>2023</v>
      </c>
      <c r="B181" s="575" t="s">
        <v>105</v>
      </c>
      <c r="C181" s="578">
        <v>50</v>
      </c>
      <c r="D181" s="578">
        <v>47.33442047165078</v>
      </c>
      <c r="E181" s="578">
        <v>51.3856032443393</v>
      </c>
      <c r="F181" s="578">
        <v>37.666208161393847</v>
      </c>
      <c r="G181" s="578">
        <v>48.779599271402553</v>
      </c>
      <c r="H181" s="578">
        <v>50</v>
      </c>
      <c r="I181" s="578">
        <v>57.28844966028413</v>
      </c>
      <c r="J181" s="578">
        <v>54.643131235610127</v>
      </c>
      <c r="K181" s="578">
        <v>63.356164383561627</v>
      </c>
      <c r="L181" s="578">
        <v>62.845453332608614</v>
      </c>
      <c r="M181" s="578">
        <v>42.834481111078652</v>
      </c>
      <c r="N181" s="578">
        <v>46.078273789810282</v>
      </c>
    </row>
    <row r="182" spans="1:14" ht="14">
      <c r="A182" s="239"/>
      <c r="B182" s="576" t="s">
        <v>106</v>
      </c>
      <c r="C182" s="580">
        <v>50</v>
      </c>
      <c r="D182" s="580">
        <v>39.888579387186617</v>
      </c>
      <c r="E182" s="580">
        <v>57.37100737100738</v>
      </c>
      <c r="F182" s="580">
        <v>41.749271137026227</v>
      </c>
      <c r="G182" s="580">
        <v>53.836116910229642</v>
      </c>
      <c r="H182" s="580">
        <v>52.033768227168068</v>
      </c>
      <c r="I182" s="580">
        <v>52.317676143386898</v>
      </c>
      <c r="J182" s="580">
        <v>54.182655410590947</v>
      </c>
      <c r="K182" s="580">
        <v>59.201388888888872</v>
      </c>
      <c r="L182" s="580">
        <v>49.45191466711092</v>
      </c>
      <c r="M182" s="580">
        <v>50.030462640878071</v>
      </c>
      <c r="N182" s="580">
        <v>73.858257934906135</v>
      </c>
    </row>
    <row r="183" spans="1:14" ht="14">
      <c r="A183" s="239"/>
      <c r="B183" s="576" t="s">
        <v>107</v>
      </c>
      <c r="C183" s="580">
        <v>50</v>
      </c>
      <c r="D183" s="580">
        <v>69.31133968891119</v>
      </c>
      <c r="E183" s="580">
        <v>52.817940395396867</v>
      </c>
      <c r="F183" s="580">
        <v>61.710660638763308</v>
      </c>
      <c r="G183" s="580">
        <v>57.889163430991879</v>
      </c>
      <c r="H183" s="580">
        <v>54.819800260529753</v>
      </c>
      <c r="I183" s="580">
        <v>56.18043350908026</v>
      </c>
      <c r="J183" s="580">
        <v>52.09132770529547</v>
      </c>
      <c r="K183" s="580">
        <v>51.024590163934427</v>
      </c>
      <c r="L183" s="580">
        <v>50.611191443861863</v>
      </c>
      <c r="M183" s="580">
        <v>50.747142319350843</v>
      </c>
      <c r="N183" s="580">
        <v>69.95790258982764</v>
      </c>
    </row>
    <row r="184" spans="1:14" ht="14">
      <c r="A184" s="239"/>
      <c r="B184" s="576" t="s">
        <v>108</v>
      </c>
      <c r="C184" s="580">
        <v>50</v>
      </c>
      <c r="D184" s="580">
        <v>50.241766858337691</v>
      </c>
      <c r="E184" s="580">
        <v>51.641841570751517</v>
      </c>
      <c r="F184" s="580">
        <v>46.89201877934272</v>
      </c>
      <c r="G184" s="580">
        <v>47.590893046240737</v>
      </c>
      <c r="H184" s="580">
        <v>58.889386475593383</v>
      </c>
      <c r="I184" s="580">
        <v>58.328393598103141</v>
      </c>
      <c r="J184" s="580">
        <v>50.460475825019188</v>
      </c>
      <c r="K184" s="580">
        <v>52.42537313432836</v>
      </c>
      <c r="L184" s="580">
        <v>52.744021952175622</v>
      </c>
      <c r="M184" s="580">
        <v>62.410210962591762</v>
      </c>
      <c r="N184" s="580">
        <v>44.957832411361011</v>
      </c>
    </row>
    <row r="185" spans="1:14" ht="14">
      <c r="A185" s="239"/>
      <c r="B185" s="576" t="s">
        <v>109</v>
      </c>
      <c r="C185" s="580">
        <v>50</v>
      </c>
      <c r="D185" s="580">
        <v>54.761276707992607</v>
      </c>
      <c r="E185" s="580">
        <v>56.581221198156683</v>
      </c>
      <c r="F185" s="580">
        <v>52.885821831869507</v>
      </c>
      <c r="G185" s="580">
        <v>54.489544895448958</v>
      </c>
      <c r="H185" s="580">
        <v>54.354136429608133</v>
      </c>
      <c r="I185" s="580">
        <v>49.520095980803838</v>
      </c>
      <c r="J185" s="589">
        <v>50.422102839600917</v>
      </c>
      <c r="K185" s="580">
        <v>60.786106032906737</v>
      </c>
      <c r="L185" s="580">
        <v>49.117729423998171</v>
      </c>
      <c r="M185" s="580">
        <v>49.63555849453337</v>
      </c>
      <c r="N185" s="580">
        <v>51.310077856818602</v>
      </c>
    </row>
    <row r="186" spans="1:14" ht="14">
      <c r="A186" s="239"/>
      <c r="B186" s="576" t="s">
        <v>110</v>
      </c>
      <c r="C186" s="580">
        <v>50</v>
      </c>
      <c r="D186" s="580">
        <v>60.164320031378082</v>
      </c>
      <c r="E186" s="580">
        <v>66.74903768972878</v>
      </c>
      <c r="F186" s="580">
        <v>56.691136326309262</v>
      </c>
      <c r="G186" s="580">
        <v>44.001838535792402</v>
      </c>
      <c r="H186" s="580">
        <v>61.910324453967348</v>
      </c>
      <c r="I186" s="580">
        <v>52.887526058971723</v>
      </c>
      <c r="J186" s="589">
        <v>52.728940512414589</v>
      </c>
      <c r="K186" s="580">
        <v>61.730977195880477</v>
      </c>
      <c r="L186" s="580">
        <v>66.827381014748312</v>
      </c>
      <c r="M186" s="580">
        <v>50.493230581946577</v>
      </c>
      <c r="N186" s="580">
        <v>56.885386290574459</v>
      </c>
    </row>
    <row r="187" spans="1:14" ht="14">
      <c r="A187" s="239"/>
      <c r="B187" s="576" t="s">
        <v>117</v>
      </c>
      <c r="C187" s="580">
        <v>50</v>
      </c>
      <c r="D187" s="580">
        <v>89.352804940813172</v>
      </c>
      <c r="E187" s="580">
        <v>54.072268425580731</v>
      </c>
      <c r="F187" s="580">
        <v>66.259339975093411</v>
      </c>
      <c r="G187" s="580">
        <v>61.956521739130423</v>
      </c>
      <c r="H187" s="580">
        <v>89.670178653229499</v>
      </c>
      <c r="I187" s="580">
        <v>52.513227513227513</v>
      </c>
      <c r="J187" s="589">
        <v>67.785878741366076</v>
      </c>
      <c r="K187" s="580">
        <v>51.518026565464893</v>
      </c>
      <c r="L187" s="580">
        <v>51.169699220200521</v>
      </c>
      <c r="M187" s="580">
        <v>31.695830920121939</v>
      </c>
      <c r="N187" s="580">
        <v>60.582150908367588</v>
      </c>
    </row>
    <row r="188" spans="1:14" ht="14">
      <c r="A188" s="239"/>
      <c r="B188" s="576" t="s">
        <v>112</v>
      </c>
      <c r="C188" s="580">
        <v>50</v>
      </c>
      <c r="D188" s="580">
        <v>53.301369863013697</v>
      </c>
      <c r="E188" s="580">
        <v>51.061663757998843</v>
      </c>
      <c r="F188" s="580">
        <v>40.327914025902437</v>
      </c>
      <c r="G188" s="580">
        <v>48.575448469926137</v>
      </c>
      <c r="H188" s="580">
        <v>52.642960115329167</v>
      </c>
      <c r="I188" s="580">
        <v>53.501228501228503</v>
      </c>
      <c r="J188" s="589">
        <v>52.551803530314658</v>
      </c>
      <c r="K188" s="580">
        <v>50.173010380622827</v>
      </c>
      <c r="L188" s="580">
        <v>50.16413021037291</v>
      </c>
      <c r="M188" s="580">
        <v>49.735269289211551</v>
      </c>
      <c r="N188" s="580">
        <v>71.818294037773114</v>
      </c>
    </row>
    <row r="189" spans="1:14" ht="14">
      <c r="A189" s="239"/>
      <c r="B189" s="576" t="s">
        <v>113</v>
      </c>
      <c r="C189" s="580">
        <v>50</v>
      </c>
      <c r="D189" s="580">
        <v>53.472994685452967</v>
      </c>
      <c r="E189" s="580">
        <v>60.046346782987989</v>
      </c>
      <c r="F189" s="580">
        <v>53.179271708683473</v>
      </c>
      <c r="G189" s="580">
        <v>56.648973320296143</v>
      </c>
      <c r="H189" s="580">
        <v>50.250113688040017</v>
      </c>
      <c r="I189" s="580">
        <v>51.005484460694703</v>
      </c>
      <c r="J189" s="589">
        <v>50</v>
      </c>
      <c r="K189" s="580">
        <v>47.715289982425297</v>
      </c>
      <c r="L189" s="580">
        <v>44.515306122448983</v>
      </c>
      <c r="M189" s="580">
        <v>50</v>
      </c>
      <c r="N189" s="580">
        <v>50.601159038026488</v>
      </c>
    </row>
    <row r="190" spans="1:14" ht="14">
      <c r="A190" s="239"/>
      <c r="B190" s="576" t="s">
        <v>114</v>
      </c>
      <c r="C190" s="580">
        <v>50</v>
      </c>
      <c r="D190" s="580">
        <v>58.920036705552633</v>
      </c>
      <c r="E190" s="580">
        <v>52.641645082060151</v>
      </c>
      <c r="F190" s="580">
        <v>54.338603108775743</v>
      </c>
      <c r="G190" s="580">
        <v>51.165740606447969</v>
      </c>
      <c r="H190" s="580">
        <v>48.523050777232683</v>
      </c>
      <c r="I190" s="580">
        <v>53.534967324715943</v>
      </c>
      <c r="J190" s="589">
        <v>50.060109317173293</v>
      </c>
      <c r="K190" s="580">
        <v>50.166675143224623</v>
      </c>
      <c r="L190" s="580">
        <v>50.554435151163219</v>
      </c>
      <c r="M190" s="580">
        <v>46.854103067446687</v>
      </c>
      <c r="N190" s="580">
        <v>53.510487910148001</v>
      </c>
    </row>
    <row r="191" spans="1:14" ht="14">
      <c r="A191" s="239"/>
      <c r="B191" s="576" t="s">
        <v>115</v>
      </c>
      <c r="C191" s="580">
        <v>50</v>
      </c>
      <c r="D191" s="580">
        <v>52.99819074696304</v>
      </c>
      <c r="E191" s="580">
        <v>54.216867469879517</v>
      </c>
      <c r="F191" s="580">
        <v>51.758445164275798</v>
      </c>
      <c r="G191" s="580">
        <v>49.744385612561622</v>
      </c>
      <c r="H191" s="580">
        <v>52.77660917122423</v>
      </c>
      <c r="I191" s="580">
        <v>59.011090573012943</v>
      </c>
      <c r="J191" s="589">
        <v>50.134305448963929</v>
      </c>
      <c r="K191" s="580">
        <v>52.700186219739287</v>
      </c>
      <c r="L191" s="580">
        <v>49.736623083586387</v>
      </c>
      <c r="M191" s="580">
        <v>54.179808539178246</v>
      </c>
      <c r="N191" s="580">
        <v>53.19533547646197</v>
      </c>
    </row>
    <row r="192" spans="1:14" ht="14">
      <c r="A192" s="240"/>
      <c r="B192" s="577" t="s">
        <v>116</v>
      </c>
      <c r="C192" s="582">
        <v>50</v>
      </c>
      <c r="D192" s="582">
        <v>44.654193117273643</v>
      </c>
      <c r="E192" s="582">
        <v>52.870005627462007</v>
      </c>
      <c r="F192" s="582">
        <v>50.329277022190411</v>
      </c>
      <c r="G192" s="582">
        <v>53.301251203079893</v>
      </c>
      <c r="H192" s="582">
        <v>54.209354120267257</v>
      </c>
      <c r="I192" s="582">
        <v>71.543209876543202</v>
      </c>
      <c r="J192" s="590">
        <v>52.285050348566998</v>
      </c>
      <c r="K192" s="582">
        <v>88.742964352720435</v>
      </c>
      <c r="L192" s="582">
        <v>54.766269477543538</v>
      </c>
      <c r="M192" s="582">
        <v>50.132195730617482</v>
      </c>
      <c r="N192" s="582">
        <v>51.34893565438356</v>
      </c>
    </row>
    <row r="193" spans="1:14" ht="14">
      <c r="A193" s="238">
        <v>2024</v>
      </c>
      <c r="B193" s="575" t="s">
        <v>105</v>
      </c>
      <c r="C193" s="578">
        <v>50</v>
      </c>
      <c r="D193" s="578">
        <v>48.811534749034749</v>
      </c>
      <c r="E193" s="578">
        <v>54.741379310344833</v>
      </c>
      <c r="F193" s="578">
        <v>43.042660712187093</v>
      </c>
      <c r="G193" s="578">
        <v>66.483742625874584</v>
      </c>
      <c r="H193" s="578">
        <v>47.257479601087937</v>
      </c>
      <c r="I193" s="578">
        <v>58.731082654249121</v>
      </c>
      <c r="J193" s="591">
        <v>53.10723758999621</v>
      </c>
      <c r="K193" s="578">
        <v>49.43181818181818</v>
      </c>
      <c r="L193" s="578">
        <v>44.67528470298555</v>
      </c>
      <c r="M193" s="578">
        <v>77.517924206213735</v>
      </c>
      <c r="N193" s="578">
        <v>64.353007945516453</v>
      </c>
    </row>
    <row r="194" spans="1:14" ht="14">
      <c r="A194" s="239"/>
      <c r="B194" s="576" t="s">
        <v>106</v>
      </c>
      <c r="C194" s="580">
        <v>50</v>
      </c>
      <c r="D194" s="580">
        <v>50</v>
      </c>
      <c r="E194" s="580">
        <v>48.931116389548691</v>
      </c>
      <c r="F194" s="580">
        <v>63.364941055868798</v>
      </c>
      <c r="G194" s="580">
        <v>43.573397656788423</v>
      </c>
      <c r="H194" s="580">
        <v>50.902184235517574</v>
      </c>
      <c r="I194" s="580">
        <v>50.53317535545024</v>
      </c>
      <c r="J194" s="589">
        <v>52.633573323228489</v>
      </c>
      <c r="K194" s="580">
        <v>74.9190938511327</v>
      </c>
      <c r="L194" s="580">
        <v>56.450617283950614</v>
      </c>
      <c r="M194" s="580">
        <v>70.259987317691838</v>
      </c>
      <c r="N194" s="580">
        <v>53.97230734309386</v>
      </c>
    </row>
    <row r="195" spans="1:14" ht="14">
      <c r="A195" s="239"/>
      <c r="B195" s="576" t="s">
        <v>107</v>
      </c>
      <c r="C195" s="580">
        <v>50</v>
      </c>
      <c r="D195" s="580">
        <v>47.342336761243963</v>
      </c>
      <c r="E195" s="580">
        <v>53.78001297858534</v>
      </c>
      <c r="F195" s="580">
        <v>42.677226694365103</v>
      </c>
      <c r="G195" s="580">
        <v>74.374816122388921</v>
      </c>
      <c r="H195" s="580">
        <v>50</v>
      </c>
      <c r="I195" s="580">
        <v>51.916475972540042</v>
      </c>
      <c r="J195" s="589">
        <v>52.633573323228489</v>
      </c>
      <c r="K195" s="580">
        <v>71.129032258064527</v>
      </c>
      <c r="L195" s="580">
        <v>46.542245370370367</v>
      </c>
      <c r="M195" s="580">
        <v>76.555023923444992</v>
      </c>
      <c r="N195" s="580">
        <v>51.833351046870007</v>
      </c>
    </row>
    <row r="196" spans="1:14" ht="14">
      <c r="A196" s="239"/>
      <c r="B196" s="576" t="s">
        <v>108</v>
      </c>
      <c r="C196" s="580">
        <v>50</v>
      </c>
      <c r="D196" s="580">
        <v>50</v>
      </c>
      <c r="E196" s="580">
        <v>48.513238289205702</v>
      </c>
      <c r="F196" s="580">
        <v>53.170418006430857</v>
      </c>
      <c r="G196" s="580">
        <v>50.270042194092831</v>
      </c>
      <c r="H196" s="580">
        <v>80.183727034120722</v>
      </c>
      <c r="I196" s="580">
        <v>50.514527845036319</v>
      </c>
      <c r="J196" s="589">
        <v>70.798569725864112</v>
      </c>
      <c r="K196" s="580">
        <v>70.032051282051299</v>
      </c>
      <c r="L196" s="580">
        <v>50</v>
      </c>
      <c r="M196" s="580">
        <v>78.727396792903463</v>
      </c>
      <c r="N196" s="580">
        <v>53.794143942780508</v>
      </c>
    </row>
    <row r="197" spans="1:14" ht="14">
      <c r="A197" s="239"/>
      <c r="B197" s="576" t="s">
        <v>109</v>
      </c>
      <c r="C197" s="580">
        <v>50</v>
      </c>
      <c r="D197" s="580">
        <v>50.12065637065637</v>
      </c>
      <c r="E197" s="580">
        <v>50.454545454545453</v>
      </c>
      <c r="F197" s="580">
        <v>64.448417428155224</v>
      </c>
      <c r="G197" s="580">
        <v>54.177740863787378</v>
      </c>
      <c r="H197" s="580">
        <v>50</v>
      </c>
      <c r="I197" s="580">
        <v>53.043478260869563</v>
      </c>
      <c r="J197" s="589">
        <v>52.633573323228489</v>
      </c>
      <c r="K197" s="580">
        <v>77.830188679245282</v>
      </c>
      <c r="L197" s="580">
        <v>51.286817271947378</v>
      </c>
      <c r="M197" s="580">
        <v>75.714285714285722</v>
      </c>
      <c r="N197" s="580">
        <v>55.826805451228672</v>
      </c>
    </row>
    <row r="198" spans="1:14" ht="14">
      <c r="A198" s="239"/>
      <c r="B198" s="576" t="s">
        <v>110</v>
      </c>
      <c r="C198" s="580">
        <v>50</v>
      </c>
      <c r="D198" s="580">
        <v>51.417929952953479</v>
      </c>
      <c r="E198" s="580">
        <v>48.969735994848683</v>
      </c>
      <c r="F198" s="580">
        <v>39.624982765752101</v>
      </c>
      <c r="G198" s="580">
        <v>56.416881998277347</v>
      </c>
      <c r="H198" s="580">
        <v>55.380577427821521</v>
      </c>
      <c r="I198" s="580">
        <v>57.203907203907193</v>
      </c>
      <c r="J198" s="589">
        <v>50.359984842743472</v>
      </c>
      <c r="K198" s="580">
        <v>69.349845201238395</v>
      </c>
      <c r="L198" s="580">
        <v>55.545359202936552</v>
      </c>
      <c r="M198" s="580">
        <v>50.166297117516628</v>
      </c>
      <c r="N198" s="580">
        <v>60.412205567451821</v>
      </c>
    </row>
    <row r="199" spans="1:14" ht="14">
      <c r="A199" s="239"/>
      <c r="B199" s="576" t="s">
        <v>117</v>
      </c>
      <c r="C199" s="580">
        <v>50</v>
      </c>
      <c r="D199" s="580">
        <v>50</v>
      </c>
      <c r="E199" s="580">
        <v>51.775862068965523</v>
      </c>
      <c r="F199" s="580">
        <v>54.324140279196463</v>
      </c>
      <c r="G199" s="580">
        <v>50.667808219178077</v>
      </c>
      <c r="H199" s="580">
        <v>50</v>
      </c>
      <c r="I199" s="580">
        <v>51.455733808674992</v>
      </c>
      <c r="J199" s="589">
        <v>54.600241060666932</v>
      </c>
      <c r="K199" s="580">
        <v>54.113924050632903</v>
      </c>
      <c r="L199" s="580">
        <v>52.313743637205</v>
      </c>
      <c r="M199" s="580">
        <v>50.161290322580648</v>
      </c>
      <c r="N199" s="580">
        <v>53.229838179186942</v>
      </c>
    </row>
    <row r="200" spans="1:14" ht="14">
      <c r="A200" s="239"/>
      <c r="B200" s="576" t="s">
        <v>112</v>
      </c>
      <c r="C200" s="580">
        <v>50</v>
      </c>
      <c r="D200" s="580">
        <v>50.533536585365852</v>
      </c>
      <c r="E200" s="580">
        <v>48.485326601451561</v>
      </c>
      <c r="F200" s="580">
        <v>57.454878367774</v>
      </c>
      <c r="G200" s="580">
        <v>46.802581402170723</v>
      </c>
      <c r="H200" s="580">
        <v>88.421550094517954</v>
      </c>
      <c r="I200" s="580">
        <v>58.570598489250429</v>
      </c>
      <c r="J200" s="589">
        <v>53.560431100846813</v>
      </c>
      <c r="K200" s="580">
        <v>50.15243902439024</v>
      </c>
      <c r="L200" s="580">
        <v>51.549394221808022</v>
      </c>
      <c r="M200" s="580">
        <v>51.247863247863251</v>
      </c>
      <c r="N200" s="580">
        <v>74.639221389417173</v>
      </c>
    </row>
    <row r="201" spans="1:14" ht="14">
      <c r="A201" s="239"/>
      <c r="B201" s="576" t="s">
        <v>113</v>
      </c>
      <c r="C201" s="580">
        <v>50</v>
      </c>
      <c r="D201" s="580">
        <v>55.00603864734299</v>
      </c>
      <c r="E201" s="580">
        <v>53.231399747793191</v>
      </c>
      <c r="F201" s="580">
        <v>53.111246016087406</v>
      </c>
      <c r="G201" s="580">
        <v>48.66528251520095</v>
      </c>
      <c r="H201" s="580">
        <v>50</v>
      </c>
      <c r="I201" s="580">
        <v>58.39499146272054</v>
      </c>
      <c r="J201" s="589">
        <v>53.716351948573717</v>
      </c>
      <c r="K201" s="580">
        <v>54.317548746518099</v>
      </c>
      <c r="L201" s="580">
        <v>64.064089521871836</v>
      </c>
      <c r="M201" s="580">
        <v>51.13108149984506</v>
      </c>
      <c r="N201" s="580">
        <v>71.051158625321847</v>
      </c>
    </row>
    <row r="202" spans="1:14" ht="14">
      <c r="A202" s="239"/>
      <c r="B202" s="576" t="s">
        <v>114</v>
      </c>
      <c r="C202" s="580">
        <v>50</v>
      </c>
      <c r="D202" s="580">
        <v>50</v>
      </c>
      <c r="E202" s="580">
        <v>54.293381037567087</v>
      </c>
      <c r="F202" s="580">
        <v>39.752698456073219</v>
      </c>
      <c r="G202" s="580">
        <v>38.28747556758384</v>
      </c>
      <c r="H202" s="580">
        <v>50</v>
      </c>
      <c r="I202" s="580">
        <v>50.324292452830193</v>
      </c>
      <c r="J202" s="589">
        <v>54.218561671353953</v>
      </c>
      <c r="K202" s="580">
        <v>67.318435754189949</v>
      </c>
      <c r="L202" s="580">
        <v>51.258178158027178</v>
      </c>
      <c r="M202" s="580">
        <v>52.00435052827843</v>
      </c>
      <c r="N202" s="580">
        <v>69.225064886911383</v>
      </c>
    </row>
    <row r="203" spans="1:14" ht="14">
      <c r="A203" s="239"/>
      <c r="B203" s="576" t="s">
        <v>115</v>
      </c>
      <c r="C203" s="580">
        <v>50</v>
      </c>
      <c r="D203" s="580">
        <v>48.811534749034749</v>
      </c>
      <c r="E203" s="580">
        <v>55.104755570335882</v>
      </c>
      <c r="F203" s="580">
        <v>49.756503908753047</v>
      </c>
      <c r="G203" s="580">
        <v>48.737083811710683</v>
      </c>
      <c r="H203" s="580">
        <v>80.183727034120722</v>
      </c>
      <c r="I203" s="580">
        <v>53.486319505736979</v>
      </c>
      <c r="J203" s="589">
        <v>53.790983606557383</v>
      </c>
      <c r="K203" s="580">
        <v>64.029850746268679</v>
      </c>
      <c r="L203" s="580">
        <v>55.787690570299269</v>
      </c>
      <c r="M203" s="580">
        <v>51.266713581984519</v>
      </c>
      <c r="N203" s="580">
        <v>52.203591037245879</v>
      </c>
    </row>
    <row r="204" spans="1:14" ht="14">
      <c r="A204" s="240"/>
      <c r="B204" s="577" t="s">
        <v>116</v>
      </c>
      <c r="C204" s="582">
        <v>50</v>
      </c>
      <c r="D204" s="582">
        <v>51.28221165874406</v>
      </c>
      <c r="E204" s="582">
        <v>46.735167384819363</v>
      </c>
      <c r="F204" s="582">
        <v>51.039895356442123</v>
      </c>
      <c r="G204" s="582">
        <v>50.85237577076532</v>
      </c>
      <c r="H204" s="582">
        <v>50</v>
      </c>
      <c r="I204" s="582">
        <v>57.422360248447191</v>
      </c>
      <c r="J204" s="590">
        <v>53.716351948573717</v>
      </c>
      <c r="K204" s="582">
        <v>72.064056939501796</v>
      </c>
      <c r="L204" s="582">
        <v>55.272026961964372</v>
      </c>
      <c r="M204" s="582">
        <v>54.845195014073177</v>
      </c>
      <c r="N204" s="582">
        <v>56.660994287103449</v>
      </c>
    </row>
    <row r="205" spans="1:14" ht="14">
      <c r="A205" s="238">
        <v>2025</v>
      </c>
      <c r="B205" s="575" t="s">
        <v>105</v>
      </c>
      <c r="C205" s="578">
        <v>50</v>
      </c>
      <c r="D205" s="578">
        <v>50</v>
      </c>
      <c r="E205" s="578">
        <v>52.062374245472839</v>
      </c>
      <c r="F205" s="578">
        <v>51.200417536534452</v>
      </c>
      <c r="G205" s="578">
        <v>54.672163329407148</v>
      </c>
      <c r="H205" s="578">
        <v>80.485091232754783</v>
      </c>
      <c r="I205" s="578">
        <v>55.943804034582129</v>
      </c>
      <c r="J205" s="591">
        <v>50.532594801874737</v>
      </c>
      <c r="K205" s="578">
        <v>50</v>
      </c>
      <c r="L205" s="578">
        <v>54.755750840010343</v>
      </c>
      <c r="M205" s="578">
        <v>81.873691556175856</v>
      </c>
      <c r="N205" s="578">
        <v>46.904266389177927</v>
      </c>
    </row>
    <row r="206" spans="1:14" ht="14">
      <c r="A206" s="239"/>
      <c r="B206" s="576" t="s">
        <v>106</v>
      </c>
      <c r="C206" s="580">
        <v>50</v>
      </c>
      <c r="D206" s="580">
        <v>50</v>
      </c>
      <c r="E206" s="580">
        <v>54.919354838709673</v>
      </c>
      <c r="F206" s="580">
        <v>50.433329206388507</v>
      </c>
      <c r="G206" s="580">
        <v>70.703378817413906</v>
      </c>
      <c r="H206" s="580">
        <v>50</v>
      </c>
      <c r="I206" s="580">
        <v>50.752773375594288</v>
      </c>
      <c r="J206" s="589">
        <v>56.611243072050677</v>
      </c>
      <c r="K206" s="580">
        <v>50.297619047619051</v>
      </c>
      <c r="L206" s="580">
        <v>51.990485728592887</v>
      </c>
      <c r="M206" s="580">
        <v>50</v>
      </c>
      <c r="N206" s="580">
        <v>59.059534081104403</v>
      </c>
    </row>
    <row r="207" spans="1:14" ht="14">
      <c r="A207" s="239"/>
      <c r="B207" s="576" t="s">
        <v>107</v>
      </c>
      <c r="C207" s="580">
        <v>50</v>
      </c>
      <c r="D207" s="580">
        <v>51.312108698548023</v>
      </c>
      <c r="E207" s="580">
        <v>53.731778425655968</v>
      </c>
      <c r="F207" s="580">
        <v>54.478000520697741</v>
      </c>
      <c r="G207" s="580">
        <v>67.164802137251627</v>
      </c>
      <c r="H207" s="580">
        <v>51.112594570538491</v>
      </c>
      <c r="I207" s="580">
        <v>56.360424028268547</v>
      </c>
      <c r="J207" s="589">
        <v>52.821011673151752</v>
      </c>
      <c r="K207" s="580">
        <v>74.01215805471125</v>
      </c>
      <c r="L207" s="580">
        <v>51.555061885115833</v>
      </c>
      <c r="M207" s="580">
        <v>51.249504165013882</v>
      </c>
      <c r="N207" s="580">
        <v>56.001711282239341</v>
      </c>
    </row>
    <row r="208" spans="1:14" ht="14">
      <c r="A208" s="239"/>
      <c r="B208" s="576" t="s">
        <v>108</v>
      </c>
      <c r="C208" s="580">
        <v>50</v>
      </c>
      <c r="D208" s="580">
        <v>74.949057564951602</v>
      </c>
      <c r="E208" s="580">
        <v>59.877403176372269</v>
      </c>
      <c r="F208" s="580">
        <v>64.707471963248196</v>
      </c>
      <c r="G208" s="580">
        <v>45.334715639810433</v>
      </c>
      <c r="H208" s="580">
        <v>19.873472949389178</v>
      </c>
      <c r="I208" s="580">
        <v>63.69047619047619</v>
      </c>
      <c r="J208" s="589">
        <v>60.414333706606939</v>
      </c>
      <c r="K208" s="580">
        <v>51.380368098159508</v>
      </c>
      <c r="L208" s="580">
        <v>49.742773150416461</v>
      </c>
      <c r="M208" s="580">
        <v>52.355808285946381</v>
      </c>
      <c r="N208" s="580">
        <v>57.371106337271748</v>
      </c>
    </row>
    <row r="209" spans="1:14" ht="14">
      <c r="A209" s="239"/>
      <c r="B209" s="576" t="s">
        <v>109</v>
      </c>
      <c r="C209" s="580">
        <v>50</v>
      </c>
      <c r="D209" s="580">
        <v>55.866105484677107</v>
      </c>
      <c r="E209" s="580">
        <v>54.578606158833061</v>
      </c>
      <c r="F209" s="580">
        <v>55.64050972501677</v>
      </c>
      <c r="G209" s="580">
        <v>59.005535784895223</v>
      </c>
      <c r="H209" s="580">
        <v>66.629030057096287</v>
      </c>
      <c r="I209" s="580">
        <v>51.040723981900463</v>
      </c>
      <c r="J209" s="589">
        <v>54.763676963155937</v>
      </c>
      <c r="K209" s="580">
        <v>71.656050955414031</v>
      </c>
      <c r="L209" s="580">
        <v>40.909090909090907</v>
      </c>
      <c r="M209" s="580">
        <v>51.420099875156048</v>
      </c>
      <c r="N209" s="580">
        <v>66.334975488320211</v>
      </c>
    </row>
    <row r="210" spans="1:14" ht="14">
      <c r="A210" s="239"/>
      <c r="B210" s="576" t="s">
        <v>110</v>
      </c>
      <c r="C210" s="584">
        <v>50</v>
      </c>
      <c r="D210" s="585">
        <v>78.879254561925734</v>
      </c>
      <c r="E210" s="585">
        <v>54.26621160409556</v>
      </c>
      <c r="F210" s="585">
        <v>47.928814382896007</v>
      </c>
      <c r="G210" s="585">
        <v>54.150422352176733</v>
      </c>
      <c r="H210" s="585">
        <v>76.894016852574651</v>
      </c>
      <c r="I210" s="585">
        <v>54.6875</v>
      </c>
      <c r="J210" s="585">
        <v>51.382618510158011</v>
      </c>
      <c r="K210" s="585">
        <v>54.27215189873418</v>
      </c>
      <c r="L210" s="585">
        <v>51.735839206473507</v>
      </c>
      <c r="M210" s="585">
        <v>50.529701097237989</v>
      </c>
      <c r="N210" s="585">
        <v>63.476332503169729</v>
      </c>
    </row>
    <row r="211" spans="1:14" ht="14">
      <c r="A211" s="239"/>
      <c r="B211" s="576" t="s">
        <v>117</v>
      </c>
      <c r="C211" s="584">
        <v>50</v>
      </c>
      <c r="D211" s="585">
        <v>81.05775922059847</v>
      </c>
      <c r="E211" s="585">
        <v>53.825934579439249</v>
      </c>
      <c r="F211" s="585">
        <v>50.961260479907487</v>
      </c>
      <c r="G211" s="585">
        <v>50</v>
      </c>
      <c r="H211" s="585">
        <v>89.715645986528131</v>
      </c>
      <c r="I211" s="585">
        <v>50.300429184549358</v>
      </c>
      <c r="J211" s="585">
        <v>55.070842654735273</v>
      </c>
      <c r="K211" s="585">
        <v>48.29192546583851</v>
      </c>
      <c r="L211" s="585">
        <v>51.453143534994069</v>
      </c>
      <c r="M211" s="585">
        <v>51.156178923426843</v>
      </c>
      <c r="N211" s="585">
        <v>73.041382174158358</v>
      </c>
    </row>
    <row r="212" spans="1:14" ht="14">
      <c r="A212" s="239"/>
      <c r="B212" s="576" t="s">
        <v>112</v>
      </c>
      <c r="C212" s="584">
        <v>50</v>
      </c>
      <c r="D212" s="585">
        <v>80.988751562283028</v>
      </c>
      <c r="E212" s="585">
        <v>61.006558311947558</v>
      </c>
      <c r="F212" s="585">
        <v>38.355580800908847</v>
      </c>
      <c r="G212" s="585">
        <v>50.712250712250707</v>
      </c>
      <c r="H212" s="585">
        <v>76.70925413655759</v>
      </c>
      <c r="I212" s="585">
        <v>58.333333333333329</v>
      </c>
      <c r="J212" s="585">
        <v>53.539325842696627</v>
      </c>
      <c r="K212" s="585">
        <v>51.91740412979351</v>
      </c>
      <c r="L212" s="585">
        <v>52.922173274596183</v>
      </c>
      <c r="M212" s="585">
        <v>51.372861122164743</v>
      </c>
      <c r="N212" s="585">
        <v>69.57239849597218</v>
      </c>
    </row>
    <row r="213" spans="1:14" ht="14">
      <c r="A213" s="239"/>
      <c r="B213" s="576" t="s">
        <v>113</v>
      </c>
      <c r="C213" s="584">
        <v>50</v>
      </c>
      <c r="D213" s="585">
        <v>80.082079343365265</v>
      </c>
      <c r="E213" s="585">
        <v>53.939909297052147</v>
      </c>
      <c r="F213" s="585">
        <v>42.250165453342177</v>
      </c>
      <c r="G213" s="585">
        <v>63.022603043285578</v>
      </c>
      <c r="H213" s="585">
        <v>56.374468935070041</v>
      </c>
      <c r="I213" s="585">
        <v>57.142857142857139</v>
      </c>
      <c r="J213" s="585">
        <v>55.014749262536867</v>
      </c>
      <c r="K213" s="585">
        <v>72.073578595317741</v>
      </c>
      <c r="L213" s="585">
        <v>52.671140939597322</v>
      </c>
      <c r="M213" s="585">
        <v>51.273378432152803</v>
      </c>
      <c r="N213" s="585">
        <v>65.87864156308612</v>
      </c>
    </row>
    <row r="214" spans="1:14" ht="14">
      <c r="A214" s="239"/>
      <c r="B214" s="576" t="s">
        <v>114</v>
      </c>
      <c r="C214" s="584">
        <v>50</v>
      </c>
      <c r="D214" s="585">
        <v>78.079789565979837</v>
      </c>
      <c r="E214" s="585">
        <v>60.877403846153868</v>
      </c>
      <c r="F214" s="585">
        <v>41.448793875487517</v>
      </c>
      <c r="G214" s="585">
        <v>55.895025460242849</v>
      </c>
      <c r="H214" s="585">
        <v>76.077957136980757</v>
      </c>
      <c r="I214" s="585">
        <v>55.323054331864903</v>
      </c>
      <c r="J214" s="585">
        <v>50.905060953084593</v>
      </c>
      <c r="K214" s="585">
        <v>50</v>
      </c>
      <c r="L214" s="585">
        <v>51.340629274965799</v>
      </c>
      <c r="M214" s="585">
        <v>51.503294892915982</v>
      </c>
      <c r="N214" s="585">
        <v>62.561342659877319</v>
      </c>
    </row>
    <row r="215" spans="1:14" ht="14">
      <c r="A215" s="239"/>
      <c r="B215" s="576" t="s">
        <v>115</v>
      </c>
      <c r="C215" s="584">
        <v>50</v>
      </c>
      <c r="D215" s="585">
        <v>82.138660399529968</v>
      </c>
      <c r="E215" s="585">
        <v>54</v>
      </c>
      <c r="F215" s="585">
        <v>52</v>
      </c>
      <c r="G215" s="585">
        <v>55.277401894451963</v>
      </c>
      <c r="H215" s="585">
        <v>52.477973568281939</v>
      </c>
      <c r="I215" s="585">
        <v>50</v>
      </c>
      <c r="J215" s="585">
        <v>53.431890179514262</v>
      </c>
      <c r="K215" s="585">
        <v>71.420187793427232</v>
      </c>
      <c r="L215" s="585">
        <v>50</v>
      </c>
      <c r="M215" s="585">
        <v>50.063051702395967</v>
      </c>
      <c r="N215" s="585">
        <v>62.900976290097617</v>
      </c>
    </row>
    <row r="216" spans="1:14" ht="14">
      <c r="A216" s="240"/>
      <c r="B216" s="577" t="s">
        <v>116</v>
      </c>
      <c r="C216" s="586">
        <v>50</v>
      </c>
      <c r="D216" s="587">
        <v>74.938440492476076</v>
      </c>
      <c r="E216" s="587">
        <v>55.301047120418843</v>
      </c>
      <c r="F216" s="587">
        <v>50.342075256556448</v>
      </c>
      <c r="G216" s="587">
        <v>56.226482709191913</v>
      </c>
      <c r="H216" s="587">
        <v>78.490525853965252</v>
      </c>
      <c r="I216" s="587">
        <v>53.501180173092052</v>
      </c>
      <c r="J216" s="587">
        <v>54.895871392035083</v>
      </c>
      <c r="K216" s="587">
        <v>50.315457413249213</v>
      </c>
      <c r="L216" s="587">
        <v>53.32775219757221</v>
      </c>
      <c r="M216" s="587">
        <v>50.347476225310899</v>
      </c>
      <c r="N216" s="587">
        <v>59.24606964437411</v>
      </c>
    </row>
    <row r="217" spans="1:14" ht="14">
      <c r="A217" s="238">
        <v>2026</v>
      </c>
      <c r="B217" s="575" t="s">
        <v>105</v>
      </c>
      <c r="C217" s="684">
        <v>50</v>
      </c>
      <c r="D217" s="685">
        <v>78.129808364806266</v>
      </c>
      <c r="E217" s="685">
        <v>55.597964376590333</v>
      </c>
      <c r="F217" s="685">
        <v>53.949595636637198</v>
      </c>
      <c r="G217" s="685">
        <v>66.44262614455485</v>
      </c>
      <c r="H217" s="685">
        <v>82.840515885498576</v>
      </c>
      <c r="I217" s="685">
        <v>58.403656821378341</v>
      </c>
      <c r="J217" s="685">
        <v>50</v>
      </c>
      <c r="K217" s="685">
        <v>50.121654501216547</v>
      </c>
      <c r="L217" s="685">
        <v>55.177419354838712</v>
      </c>
      <c r="M217" s="685">
        <v>51.048417842165463</v>
      </c>
      <c r="N217" s="685">
        <v>53.523301516002249</v>
      </c>
    </row>
    <row r="218" spans="1:14" ht="14">
      <c r="A218" s="239"/>
      <c r="B218" s="576" t="s">
        <v>106</v>
      </c>
      <c r="C218" s="584">
        <v>50</v>
      </c>
      <c r="D218" s="585">
        <v>70.339077265147296</v>
      </c>
      <c r="E218" s="585">
        <v>54.264659767952338</v>
      </c>
      <c r="F218" s="585">
        <v>54.014830508474567</v>
      </c>
      <c r="G218" s="585">
        <v>62.619553666312427</v>
      </c>
      <c r="H218" s="585">
        <v>50.439698492462313</v>
      </c>
      <c r="I218" s="585">
        <v>60.028449502133711</v>
      </c>
      <c r="J218" s="585">
        <v>56.67590027700831</v>
      </c>
      <c r="K218" s="585">
        <v>50.662251655629142</v>
      </c>
      <c r="L218" s="585">
        <v>63.356901321856753</v>
      </c>
      <c r="M218" s="585">
        <v>50.826073896064877</v>
      </c>
      <c r="N218" s="585">
        <v>63.181158464177329</v>
      </c>
    </row>
    <row r="219" spans="1:14" ht="14">
      <c r="A219" s="240"/>
      <c r="B219" s="577" t="s">
        <v>107</v>
      </c>
      <c r="C219" s="705">
        <v>50</v>
      </c>
      <c r="D219" s="706">
        <v>92.581367769139547</v>
      </c>
      <c r="E219" s="706">
        <v>54.010519395134779</v>
      </c>
      <c r="F219" s="706">
        <v>52.643241532130418</v>
      </c>
      <c r="G219" s="706">
        <v>59.545770971110336</v>
      </c>
      <c r="H219" s="706">
        <v>67.09905660377359</v>
      </c>
      <c r="I219" s="706">
        <v>51.770657672849914</v>
      </c>
      <c r="J219" s="706">
        <v>50</v>
      </c>
      <c r="K219" s="706">
        <v>53.034300791556731</v>
      </c>
      <c r="L219" s="706">
        <v>55.314799672935408</v>
      </c>
      <c r="M219" s="706">
        <v>50.985477178423238</v>
      </c>
      <c r="N219" s="707">
        <v>61.916395222584143</v>
      </c>
    </row>
    <row r="221" spans="1:14" ht="14">
      <c r="A221" s="823" t="s">
        <v>349</v>
      </c>
      <c r="B221" s="823"/>
      <c r="C221" s="823"/>
      <c r="D221" s="823"/>
      <c r="E221" s="823"/>
      <c r="F221" s="823"/>
      <c r="G221" s="823"/>
      <c r="H221" s="823"/>
      <c r="I221" s="823"/>
      <c r="J221" s="823"/>
      <c r="K221" s="823"/>
      <c r="L221" s="823"/>
      <c r="M221" s="823"/>
      <c r="N221" s="823"/>
    </row>
    <row r="222" spans="1:14" ht="17.5" customHeight="1">
      <c r="A222" s="717" t="s">
        <v>98</v>
      </c>
      <c r="B222" s="718"/>
      <c r="C222" s="721" t="s">
        <v>322</v>
      </c>
      <c r="D222" s="824" t="s">
        <v>336</v>
      </c>
      <c r="E222" s="825"/>
      <c r="F222" s="825"/>
      <c r="G222" s="825"/>
      <c r="H222" s="825"/>
      <c r="I222" s="825"/>
      <c r="J222" s="825"/>
      <c r="K222" s="825"/>
      <c r="L222" s="825"/>
      <c r="M222" s="825"/>
      <c r="N222" s="826"/>
    </row>
    <row r="223" spans="1:14" ht="63.65" customHeight="1">
      <c r="A223" s="751"/>
      <c r="B223" s="752"/>
      <c r="C223" s="722"/>
      <c r="D223" s="376" t="s">
        <v>337</v>
      </c>
      <c r="E223" s="376" t="s">
        <v>215</v>
      </c>
      <c r="F223" s="376" t="s">
        <v>338</v>
      </c>
      <c r="G223" s="376" t="s">
        <v>339</v>
      </c>
      <c r="H223" s="376" t="s">
        <v>340</v>
      </c>
      <c r="I223" s="376" t="s">
        <v>341</v>
      </c>
      <c r="J223" s="277" t="s">
        <v>342</v>
      </c>
      <c r="K223" s="277" t="s">
        <v>343</v>
      </c>
      <c r="L223" s="277" t="s">
        <v>344</v>
      </c>
      <c r="M223" s="281" t="s">
        <v>345</v>
      </c>
      <c r="N223" s="281" t="s">
        <v>346</v>
      </c>
    </row>
    <row r="224" spans="1:14" ht="14">
      <c r="A224" s="238">
        <v>2020</v>
      </c>
      <c r="B224" s="572" t="s">
        <v>112</v>
      </c>
      <c r="C224" s="579">
        <v>50</v>
      </c>
      <c r="D224" s="578">
        <v>50</v>
      </c>
      <c r="E224" s="578">
        <v>56.514773940904227</v>
      </c>
      <c r="F224" s="578">
        <v>67.117253948967203</v>
      </c>
      <c r="G224" s="578">
        <v>61.460142067876873</v>
      </c>
      <c r="H224" s="578">
        <v>56.869734283862599</v>
      </c>
      <c r="I224" s="578">
        <v>65.047619047619051</v>
      </c>
      <c r="J224" s="578">
        <v>48.522030117122142</v>
      </c>
      <c r="K224" s="578">
        <v>56.995230524642288</v>
      </c>
      <c r="L224" s="579">
        <v>55.205968212779759</v>
      </c>
      <c r="M224" s="578">
        <v>58.338658146964868</v>
      </c>
      <c r="N224" s="578">
        <v>62.315112540192906</v>
      </c>
    </row>
    <row r="225" spans="1:14" ht="14">
      <c r="A225" s="239"/>
      <c r="B225" s="573" t="s">
        <v>113</v>
      </c>
      <c r="C225" s="581">
        <v>50</v>
      </c>
      <c r="D225" s="580">
        <v>26.335447498238231</v>
      </c>
      <c r="E225" s="580">
        <v>59.608603667136812</v>
      </c>
      <c r="F225" s="580">
        <v>63.513849211278099</v>
      </c>
      <c r="G225" s="580">
        <v>65.061767500791888</v>
      </c>
      <c r="H225" s="580">
        <v>52.507232401157182</v>
      </c>
      <c r="I225" s="580">
        <v>74.981440237564982</v>
      </c>
      <c r="J225" s="580">
        <v>56.790842064415997</v>
      </c>
      <c r="K225" s="580">
        <v>54.968454258675081</v>
      </c>
      <c r="L225" s="581">
        <v>68.686646099603337</v>
      </c>
      <c r="M225" s="580">
        <v>49.660152931180967</v>
      </c>
      <c r="N225" s="580">
        <v>51.280558789289891</v>
      </c>
    </row>
    <row r="226" spans="1:14" ht="14">
      <c r="A226" s="239"/>
      <c r="B226" s="573" t="s">
        <v>114</v>
      </c>
      <c r="C226" s="581">
        <v>50</v>
      </c>
      <c r="D226" s="580">
        <v>56.440677966101688</v>
      </c>
      <c r="E226" s="580">
        <v>54.990729295426448</v>
      </c>
      <c r="F226" s="580">
        <v>56.882484537439119</v>
      </c>
      <c r="G226" s="580">
        <v>58.93225584594223</v>
      </c>
      <c r="H226" s="580">
        <v>51.272287429441803</v>
      </c>
      <c r="I226" s="580">
        <v>53.501773049645386</v>
      </c>
      <c r="J226" s="580">
        <v>52.910360884749707</v>
      </c>
      <c r="K226" s="580">
        <v>48.738170347003162</v>
      </c>
      <c r="L226" s="581">
        <v>57.127819548872182</v>
      </c>
      <c r="M226" s="580">
        <v>65.59485530546624</v>
      </c>
      <c r="N226" s="580">
        <v>46.099445109346092</v>
      </c>
    </row>
    <row r="227" spans="1:14" ht="14">
      <c r="A227" s="239"/>
      <c r="B227" s="573" t="s">
        <v>115</v>
      </c>
      <c r="C227" s="581">
        <v>50</v>
      </c>
      <c r="D227" s="580">
        <v>49.735490897775009</v>
      </c>
      <c r="E227" s="580">
        <v>60.712183637433782</v>
      </c>
      <c r="F227" s="580">
        <v>47.526106414719017</v>
      </c>
      <c r="G227" s="580">
        <v>51.577242641881433</v>
      </c>
      <c r="H227" s="580">
        <v>53.03288235821163</v>
      </c>
      <c r="I227" s="580">
        <v>63.435969209237243</v>
      </c>
      <c r="J227" s="580">
        <v>52.076057431121463</v>
      </c>
      <c r="K227" s="580">
        <v>52.456418383518219</v>
      </c>
      <c r="L227" s="581">
        <v>76.576708712232318</v>
      </c>
      <c r="M227" s="580">
        <v>56.253369272237187</v>
      </c>
      <c r="N227" s="580">
        <v>62.37125332716122</v>
      </c>
    </row>
    <row r="228" spans="1:14" ht="14">
      <c r="A228" s="239"/>
      <c r="B228" s="574" t="s">
        <v>116</v>
      </c>
      <c r="C228" s="583">
        <v>50</v>
      </c>
      <c r="D228" s="582">
        <v>53.998869577504593</v>
      </c>
      <c r="E228" s="582">
        <v>51.156633221850612</v>
      </c>
      <c r="F228" s="582">
        <v>76.195426195426208</v>
      </c>
      <c r="G228" s="582">
        <v>63.208409506398539</v>
      </c>
      <c r="H228" s="582">
        <v>89.012905476107463</v>
      </c>
      <c r="I228" s="582">
        <v>66.679160419790122</v>
      </c>
      <c r="J228" s="582">
        <v>52.076057431121463</v>
      </c>
      <c r="K228" s="582">
        <v>57.667210440456763</v>
      </c>
      <c r="L228" s="583">
        <v>52.777777777777757</v>
      </c>
      <c r="M228" s="582">
        <v>34.016704631738797</v>
      </c>
      <c r="N228" s="582">
        <v>65.953056486974447</v>
      </c>
    </row>
    <row r="229" spans="1:14" ht="14">
      <c r="A229" s="238">
        <v>2021</v>
      </c>
      <c r="B229" s="573" t="s">
        <v>105</v>
      </c>
      <c r="C229" s="581">
        <v>50</v>
      </c>
      <c r="D229" s="580">
        <v>16.73916195447298</v>
      </c>
      <c r="E229" s="580">
        <v>54.863530778164929</v>
      </c>
      <c r="F229" s="580">
        <v>70.556368960468518</v>
      </c>
      <c r="G229" s="580">
        <v>54.363441846247888</v>
      </c>
      <c r="H229" s="580">
        <v>51.488363701966442</v>
      </c>
      <c r="I229" s="580">
        <v>73.792357606344638</v>
      </c>
      <c r="J229" s="580">
        <v>57.139942880456957</v>
      </c>
      <c r="K229" s="580">
        <v>57.624398073836282</v>
      </c>
      <c r="L229" s="581">
        <v>46.871146732429111</v>
      </c>
      <c r="M229" s="578">
        <v>42.743105950653117</v>
      </c>
      <c r="N229" s="578">
        <v>63.216974674880227</v>
      </c>
    </row>
    <row r="230" spans="1:14" ht="14">
      <c r="A230" s="239"/>
      <c r="B230" s="573" t="s">
        <v>106</v>
      </c>
      <c r="C230" s="581">
        <v>50</v>
      </c>
      <c r="D230" s="580">
        <v>92.612997526422305</v>
      </c>
      <c r="E230" s="580">
        <v>49.982294617563738</v>
      </c>
      <c r="F230" s="580">
        <v>62.611819914943553</v>
      </c>
      <c r="G230" s="580">
        <v>60.692987867571453</v>
      </c>
      <c r="H230" s="580">
        <v>53.240440699935199</v>
      </c>
      <c r="I230" s="580">
        <v>70.718503937007881</v>
      </c>
      <c r="J230" s="580">
        <v>50</v>
      </c>
      <c r="K230" s="580">
        <v>47.904191616766468</v>
      </c>
      <c r="L230" s="581">
        <v>45.901060070671363</v>
      </c>
      <c r="M230" s="580">
        <v>47.940613026819911</v>
      </c>
      <c r="N230" s="580">
        <v>41.458026509572917</v>
      </c>
    </row>
    <row r="231" spans="1:14" ht="14">
      <c r="A231" s="239"/>
      <c r="B231" s="573" t="s">
        <v>107</v>
      </c>
      <c r="C231" s="581">
        <v>50</v>
      </c>
      <c r="D231" s="580">
        <v>76.33826445020587</v>
      </c>
      <c r="E231" s="580">
        <v>62.46362754607177</v>
      </c>
      <c r="F231" s="580">
        <v>45.746502997430753</v>
      </c>
      <c r="G231" s="580">
        <v>54.18662409082846</v>
      </c>
      <c r="H231" s="580">
        <v>77.803654604084571</v>
      </c>
      <c r="I231" s="580">
        <v>79.40630797773656</v>
      </c>
      <c r="J231" s="580">
        <v>46.119518820333717</v>
      </c>
      <c r="K231" s="580">
        <v>48.635634028892447</v>
      </c>
      <c r="L231" s="581">
        <v>51.341127922971111</v>
      </c>
      <c r="M231" s="580">
        <v>58.616071428571459</v>
      </c>
      <c r="N231" s="580">
        <v>48.586037116525688</v>
      </c>
    </row>
    <row r="232" spans="1:14" ht="14">
      <c r="A232" s="239"/>
      <c r="B232" s="573" t="s">
        <v>108</v>
      </c>
      <c r="C232" s="581">
        <v>50</v>
      </c>
      <c r="D232" s="580">
        <v>85.449233016800562</v>
      </c>
      <c r="E232" s="580">
        <v>50.17146776406036</v>
      </c>
      <c r="F232" s="580">
        <v>71.082012405237776</v>
      </c>
      <c r="G232" s="580">
        <v>63.002301292264107</v>
      </c>
      <c r="H232" s="580">
        <v>50.870473537604447</v>
      </c>
      <c r="I232" s="580">
        <v>78.928884986830568</v>
      </c>
      <c r="J232" s="580">
        <v>55.173305742369379</v>
      </c>
      <c r="K232" s="580">
        <v>30.033003300330041</v>
      </c>
      <c r="L232" s="581">
        <v>73.909681410454695</v>
      </c>
      <c r="M232" s="580">
        <v>37.733549959382621</v>
      </c>
      <c r="N232" s="580">
        <v>57.623597839634442</v>
      </c>
    </row>
    <row r="233" spans="1:14" ht="14">
      <c r="A233" s="239"/>
      <c r="B233" s="573" t="s">
        <v>109</v>
      </c>
      <c r="C233" s="581">
        <v>50</v>
      </c>
      <c r="D233" s="580">
        <v>77.782041442824237</v>
      </c>
      <c r="E233" s="580">
        <v>48.850771869639793</v>
      </c>
      <c r="F233" s="580">
        <v>62.94666316342618</v>
      </c>
      <c r="G233" s="580">
        <v>47.508643481797847</v>
      </c>
      <c r="H233" s="580">
        <v>50</v>
      </c>
      <c r="I233" s="580">
        <v>80.409041980624337</v>
      </c>
      <c r="J233" s="580">
        <v>50.489596083231334</v>
      </c>
      <c r="K233" s="580">
        <v>54.901960784313729</v>
      </c>
      <c r="L233" s="581">
        <v>63.470149253731321</v>
      </c>
      <c r="M233" s="580">
        <v>49.172185430463578</v>
      </c>
      <c r="N233" s="580">
        <v>75.981404958677672</v>
      </c>
    </row>
    <row r="234" spans="1:14" ht="14">
      <c r="A234" s="239"/>
      <c r="B234" s="573" t="s">
        <v>110</v>
      </c>
      <c r="C234" s="581">
        <v>50</v>
      </c>
      <c r="D234" s="580">
        <v>52.96329057938965</v>
      </c>
      <c r="E234" s="580">
        <v>47.692307692307693</v>
      </c>
      <c r="F234" s="580">
        <v>41.046462364072852</v>
      </c>
      <c r="G234" s="580">
        <v>51.870270270270282</v>
      </c>
      <c r="H234" s="580">
        <v>49.006739978715864</v>
      </c>
      <c r="I234" s="580">
        <v>84.517766497461935</v>
      </c>
      <c r="J234" s="580">
        <v>49.122807017543863</v>
      </c>
      <c r="K234" s="580">
        <v>51.386623164763463</v>
      </c>
      <c r="L234" s="581">
        <v>71.699704765921553</v>
      </c>
      <c r="M234" s="580">
        <v>47.692307692307693</v>
      </c>
      <c r="N234" s="580">
        <v>65.600882028665922</v>
      </c>
    </row>
    <row r="235" spans="1:14" ht="14">
      <c r="A235" s="239"/>
      <c r="B235" s="573" t="s">
        <v>117</v>
      </c>
      <c r="C235" s="581">
        <v>50</v>
      </c>
      <c r="D235" s="580">
        <v>54.966316778944069</v>
      </c>
      <c r="E235" s="580">
        <v>49.867021276595743</v>
      </c>
      <c r="F235" s="580">
        <v>44.723900519881951</v>
      </c>
      <c r="G235" s="580">
        <v>55.810268328755541</v>
      </c>
      <c r="H235" s="580">
        <v>52.23570190641248</v>
      </c>
      <c r="I235" s="580">
        <v>78.775079197465701</v>
      </c>
      <c r="J235" s="580">
        <v>53.059975520195842</v>
      </c>
      <c r="K235" s="580">
        <v>55.741626794258373</v>
      </c>
      <c r="L235" s="581">
        <v>54.643449419568817</v>
      </c>
      <c r="M235" s="580">
        <v>53.616484440706472</v>
      </c>
      <c r="N235" s="580">
        <v>68.188434563980422</v>
      </c>
    </row>
    <row r="236" spans="1:14" ht="14">
      <c r="A236" s="239"/>
      <c r="B236" s="573" t="s">
        <v>112</v>
      </c>
      <c r="C236" s="581">
        <v>50</v>
      </c>
      <c r="D236" s="580">
        <v>72.19836001561886</v>
      </c>
      <c r="E236" s="580">
        <v>62.920648109680108</v>
      </c>
      <c r="F236" s="580">
        <v>54.202475077346172</v>
      </c>
      <c r="G236" s="580">
        <v>46.414380321665099</v>
      </c>
      <c r="H236" s="580">
        <v>74.198717948717984</v>
      </c>
      <c r="I236" s="580">
        <v>71.75290390707498</v>
      </c>
      <c r="J236" s="580">
        <v>24.447252053063799</v>
      </c>
      <c r="K236" s="580">
        <v>23.887973640856689</v>
      </c>
      <c r="L236" s="581">
        <v>57.912457912457903</v>
      </c>
      <c r="M236" s="580">
        <v>41.359447004608299</v>
      </c>
      <c r="N236" s="580">
        <v>39.271976064966523</v>
      </c>
    </row>
    <row r="237" spans="1:14" ht="14">
      <c r="A237" s="239"/>
      <c r="B237" s="573" t="s">
        <v>113</v>
      </c>
      <c r="C237" s="581">
        <v>50</v>
      </c>
      <c r="D237" s="580">
        <v>62.992637505413583</v>
      </c>
      <c r="E237" s="580">
        <v>47.410429230223492</v>
      </c>
      <c r="F237" s="580">
        <v>52.517985611510781</v>
      </c>
      <c r="G237" s="580">
        <v>41.742436766407693</v>
      </c>
      <c r="H237" s="580">
        <v>66.92307692307692</v>
      </c>
      <c r="I237" s="580">
        <v>51.149425287356337</v>
      </c>
      <c r="J237" s="580">
        <v>68.76051598429612</v>
      </c>
      <c r="K237" s="580">
        <v>52.892561983471097</v>
      </c>
      <c r="L237" s="581">
        <v>41.159052453468689</v>
      </c>
      <c r="M237" s="580">
        <v>26.363636363636331</v>
      </c>
      <c r="N237" s="580">
        <v>49.33554817275747</v>
      </c>
    </row>
    <row r="238" spans="1:14" ht="14">
      <c r="A238" s="239"/>
      <c r="B238" s="573" t="s">
        <v>114</v>
      </c>
      <c r="C238" s="581">
        <v>50</v>
      </c>
      <c r="D238" s="580">
        <v>61.810368727474348</v>
      </c>
      <c r="E238" s="580">
        <v>41.494673768308907</v>
      </c>
      <c r="F238" s="580">
        <v>50.739957716701902</v>
      </c>
      <c r="G238" s="580">
        <v>38.366419919246269</v>
      </c>
      <c r="H238" s="580">
        <v>69.170579029733958</v>
      </c>
      <c r="I238" s="580">
        <v>49.554013875123893</v>
      </c>
      <c r="J238" s="580">
        <v>51.867088607594937</v>
      </c>
      <c r="K238" s="580">
        <v>56.394316163410309</v>
      </c>
      <c r="L238" s="581">
        <v>49.673314993122439</v>
      </c>
      <c r="M238" s="580">
        <v>45.689655172413801</v>
      </c>
      <c r="N238" s="580">
        <v>46.09089464484348</v>
      </c>
    </row>
    <row r="239" spans="1:14" ht="14">
      <c r="A239" s="239"/>
      <c r="B239" s="573" t="s">
        <v>115</v>
      </c>
      <c r="C239" s="581">
        <v>50</v>
      </c>
      <c r="D239" s="580">
        <v>50.393287886733077</v>
      </c>
      <c r="E239" s="580">
        <v>54.672103295956497</v>
      </c>
      <c r="F239" s="580">
        <v>51.141826923076927</v>
      </c>
      <c r="G239" s="580">
        <v>54.562428965741191</v>
      </c>
      <c r="H239" s="580">
        <v>54.303599374021907</v>
      </c>
      <c r="I239" s="580">
        <v>69.062901155327339</v>
      </c>
      <c r="J239" s="580">
        <v>48.734177215189867</v>
      </c>
      <c r="K239" s="580">
        <v>73.946360153256677</v>
      </c>
      <c r="L239" s="581">
        <v>72.830923248053395</v>
      </c>
      <c r="M239" s="580">
        <v>16.932624113475171</v>
      </c>
      <c r="N239" s="580">
        <v>69.406906906906897</v>
      </c>
    </row>
    <row r="240" spans="1:14" ht="14">
      <c r="A240" s="240"/>
      <c r="B240" s="574" t="s">
        <v>116</v>
      </c>
      <c r="C240" s="583">
        <v>50</v>
      </c>
      <c r="D240" s="582">
        <v>73.492560689115095</v>
      </c>
      <c r="E240" s="582">
        <v>54.719137818419327</v>
      </c>
      <c r="F240" s="582">
        <v>60.941081299716849</v>
      </c>
      <c r="G240" s="582">
        <v>46.885035324341672</v>
      </c>
      <c r="H240" s="582">
        <v>58.661710037174728</v>
      </c>
      <c r="I240" s="588">
        <v>70.327970297029694</v>
      </c>
      <c r="J240" s="582">
        <v>50</v>
      </c>
      <c r="K240" s="588">
        <v>51.890034364261183</v>
      </c>
      <c r="L240" s="592">
        <v>54.229088639200953</v>
      </c>
      <c r="M240" s="592">
        <v>61.338495575221238</v>
      </c>
      <c r="N240" s="582">
        <v>51.983885679537863</v>
      </c>
    </row>
    <row r="241" spans="1:14" ht="14">
      <c r="A241" s="238">
        <v>2022</v>
      </c>
      <c r="B241" s="575" t="s">
        <v>105</v>
      </c>
      <c r="C241" s="578">
        <v>50</v>
      </c>
      <c r="D241" s="578">
        <v>85.198512654432051</v>
      </c>
      <c r="E241" s="578">
        <v>50.684320142814641</v>
      </c>
      <c r="F241" s="578">
        <v>50.351059680145603</v>
      </c>
      <c r="G241" s="578">
        <v>62.77620396600566</v>
      </c>
      <c r="H241" s="578">
        <v>41.616161616161627</v>
      </c>
      <c r="I241" s="578">
        <v>52.341824157764997</v>
      </c>
      <c r="J241" s="578">
        <v>72.79804270462634</v>
      </c>
      <c r="K241" s="578">
        <v>51.869918699186996</v>
      </c>
      <c r="L241" s="578">
        <v>54.620462046204651</v>
      </c>
      <c r="M241" s="578">
        <v>45.922598479612986</v>
      </c>
      <c r="N241" s="578">
        <v>57.144697848215444</v>
      </c>
    </row>
    <row r="242" spans="1:14" ht="14">
      <c r="A242" s="239"/>
      <c r="B242" s="576" t="s">
        <v>106</v>
      </c>
      <c r="C242" s="580">
        <v>50</v>
      </c>
      <c r="D242" s="593">
        <v>80.731943771206971</v>
      </c>
      <c r="E242" s="580">
        <v>58.166969147005439</v>
      </c>
      <c r="F242" s="593">
        <v>59.705018516153743</v>
      </c>
      <c r="G242" s="580">
        <v>68.945182724252504</v>
      </c>
      <c r="H242" s="593">
        <v>52.092467118373847</v>
      </c>
      <c r="I242" s="580">
        <v>59.620991253644313</v>
      </c>
      <c r="J242" s="593">
        <v>50</v>
      </c>
      <c r="K242" s="580">
        <v>55.016181229773473</v>
      </c>
      <c r="L242" s="593">
        <v>58.748353096179201</v>
      </c>
      <c r="M242" s="580">
        <v>50.614250614250622</v>
      </c>
      <c r="N242" s="581">
        <v>72.153195849878315</v>
      </c>
    </row>
    <row r="243" spans="1:14" ht="14">
      <c r="A243" s="239"/>
      <c r="B243" s="576" t="s">
        <v>107</v>
      </c>
      <c r="C243" s="580">
        <v>50</v>
      </c>
      <c r="D243" s="580">
        <v>91.465295629820048</v>
      </c>
      <c r="E243" s="580">
        <v>56.289671090594346</v>
      </c>
      <c r="F243" s="580">
        <v>62.657975256086203</v>
      </c>
      <c r="G243" s="580">
        <v>42.466199706792636</v>
      </c>
      <c r="H243" s="580">
        <v>29.90000000000002</v>
      </c>
      <c r="I243" s="580">
        <v>52.665165165165163</v>
      </c>
      <c r="J243" s="580">
        <v>52.913701067615648</v>
      </c>
      <c r="K243" s="580">
        <v>50.33898305084746</v>
      </c>
      <c r="L243" s="580">
        <v>50.350121195798543</v>
      </c>
      <c r="M243" s="580">
        <v>51.51175811870101</v>
      </c>
      <c r="N243" s="580">
        <v>71.884975268712921</v>
      </c>
    </row>
    <row r="244" spans="1:14" ht="14">
      <c r="A244" s="239"/>
      <c r="B244" s="576" t="s">
        <v>108</v>
      </c>
      <c r="C244" s="580">
        <v>50</v>
      </c>
      <c r="D244" s="580">
        <v>83.597188007935983</v>
      </c>
      <c r="E244" s="580">
        <v>49.214850184188762</v>
      </c>
      <c r="F244" s="580">
        <v>62.508457727881712</v>
      </c>
      <c r="G244" s="580">
        <v>58.718724086658888</v>
      </c>
      <c r="H244" s="580">
        <v>49.829572860516528</v>
      </c>
      <c r="I244" s="580">
        <v>78.873167805920616</v>
      </c>
      <c r="J244" s="580">
        <v>53.934882372559862</v>
      </c>
      <c r="K244" s="580">
        <v>52.039079210257391</v>
      </c>
      <c r="L244" s="580">
        <v>67.470483123609341</v>
      </c>
      <c r="M244" s="580">
        <v>69.835698406237938</v>
      </c>
      <c r="N244" s="580">
        <v>43.710576593916556</v>
      </c>
    </row>
    <row r="245" spans="1:14" ht="14">
      <c r="A245" s="239"/>
      <c r="B245" s="576" t="s">
        <v>109</v>
      </c>
      <c r="C245" s="580">
        <v>50</v>
      </c>
      <c r="D245" s="580">
        <v>84.213462253625877</v>
      </c>
      <c r="E245" s="580">
        <v>53.834312902322978</v>
      </c>
      <c r="F245" s="580">
        <v>67.330449166560641</v>
      </c>
      <c r="G245" s="580">
        <v>37.40263630916715</v>
      </c>
      <c r="H245" s="580">
        <v>92.53308128544424</v>
      </c>
      <c r="I245" s="580">
        <v>55.705705705705697</v>
      </c>
      <c r="J245" s="580">
        <v>53.847864768683273</v>
      </c>
      <c r="K245" s="580">
        <v>50.829187396351578</v>
      </c>
      <c r="L245" s="580">
        <v>36.887417218543007</v>
      </c>
      <c r="M245" s="580">
        <v>66.127694859038144</v>
      </c>
      <c r="N245" s="580">
        <v>58.809216859050977</v>
      </c>
    </row>
    <row r="246" spans="1:14" ht="14">
      <c r="A246" s="239"/>
      <c r="B246" s="576" t="s">
        <v>110</v>
      </c>
      <c r="C246" s="580">
        <v>50</v>
      </c>
      <c r="D246" s="580">
        <v>47.728155339805816</v>
      </c>
      <c r="E246" s="580">
        <v>58.223201174743018</v>
      </c>
      <c r="F246" s="580">
        <v>44.339862630373943</v>
      </c>
      <c r="G246" s="580">
        <v>54.996034892942113</v>
      </c>
      <c r="H246" s="580">
        <v>50.993640699523063</v>
      </c>
      <c r="I246" s="580">
        <v>58.259587020648958</v>
      </c>
      <c r="J246" s="580">
        <v>50.444839857651253</v>
      </c>
      <c r="K246" s="580">
        <v>51.3347022587269</v>
      </c>
      <c r="L246" s="580">
        <v>58.814741035856557</v>
      </c>
      <c r="M246" s="580">
        <v>60.445049954586743</v>
      </c>
      <c r="N246" s="580">
        <v>53.767687863752784</v>
      </c>
    </row>
    <row r="247" spans="1:14" ht="14">
      <c r="A247" s="239"/>
      <c r="B247" s="576" t="s">
        <v>117</v>
      </c>
      <c r="C247" s="580">
        <v>50</v>
      </c>
      <c r="D247" s="580">
        <v>50.264616935483872</v>
      </c>
      <c r="E247" s="580">
        <v>59.596441054972992</v>
      </c>
      <c r="F247" s="580">
        <v>53.34255752985726</v>
      </c>
      <c r="G247" s="580">
        <v>46.82437850842021</v>
      </c>
      <c r="H247" s="580">
        <v>58.306595365418893</v>
      </c>
      <c r="I247" s="580">
        <v>56.666666666666671</v>
      </c>
      <c r="J247" s="580">
        <v>59.985422740524783</v>
      </c>
      <c r="K247" s="580">
        <v>50.73221757322176</v>
      </c>
      <c r="L247" s="580">
        <v>62.066225165562933</v>
      </c>
      <c r="M247" s="580">
        <v>50</v>
      </c>
      <c r="N247" s="580">
        <v>59.187344948843247</v>
      </c>
    </row>
    <row r="248" spans="1:14" ht="14">
      <c r="A248" s="239"/>
      <c r="B248" s="576" t="s">
        <v>112</v>
      </c>
      <c r="C248" s="580">
        <v>50</v>
      </c>
      <c r="D248" s="580">
        <v>54.263830764542107</v>
      </c>
      <c r="E248" s="580">
        <v>51.191013148885489</v>
      </c>
      <c r="F248" s="580">
        <v>56.631422372148528</v>
      </c>
      <c r="G248" s="580">
        <v>59.513757532851059</v>
      </c>
      <c r="H248" s="580">
        <v>47.652780875109038</v>
      </c>
      <c r="I248" s="580">
        <v>48.035943095598178</v>
      </c>
      <c r="J248" s="580">
        <v>71.96614608762934</v>
      </c>
      <c r="K248" s="580">
        <v>51.729638730874193</v>
      </c>
      <c r="L248" s="580">
        <v>61.82461019917163</v>
      </c>
      <c r="M248" s="580">
        <v>61.360306208752391</v>
      </c>
      <c r="N248" s="580">
        <v>72.918876629094228</v>
      </c>
    </row>
    <row r="249" spans="1:14" ht="14">
      <c r="A249" s="239"/>
      <c r="B249" s="576" t="s">
        <v>113</v>
      </c>
      <c r="C249" s="580">
        <v>50</v>
      </c>
      <c r="D249" s="580">
        <v>82.576726342710998</v>
      </c>
      <c r="E249" s="580">
        <v>56.153207964601769</v>
      </c>
      <c r="F249" s="580">
        <v>53.213625154130703</v>
      </c>
      <c r="G249" s="580">
        <v>39.561631944444443</v>
      </c>
      <c r="H249" s="580">
        <v>47.849807445442877</v>
      </c>
      <c r="I249" s="580">
        <v>57.863777089783291</v>
      </c>
      <c r="J249" s="580">
        <v>57.651245551601413</v>
      </c>
      <c r="K249" s="580">
        <v>42.055267702936121</v>
      </c>
      <c r="L249" s="580">
        <v>66.046213093709895</v>
      </c>
      <c r="M249" s="580">
        <v>46.130952380952387</v>
      </c>
      <c r="N249" s="580">
        <v>56.537323427552003</v>
      </c>
    </row>
    <row r="250" spans="1:14" ht="14">
      <c r="A250" s="239"/>
      <c r="B250" s="576" t="s">
        <v>114</v>
      </c>
      <c r="C250" s="580">
        <v>50</v>
      </c>
      <c r="D250" s="580">
        <v>74.771704180064319</v>
      </c>
      <c r="E250" s="580">
        <v>53.355066558000551</v>
      </c>
      <c r="F250" s="580">
        <v>53.718570130263558</v>
      </c>
      <c r="G250" s="580">
        <v>49.175904317386227</v>
      </c>
      <c r="H250" s="580">
        <v>81.125299281723869</v>
      </c>
      <c r="I250" s="580">
        <v>51.879271070615033</v>
      </c>
      <c r="J250" s="580">
        <v>53.059273422562143</v>
      </c>
      <c r="K250" s="580">
        <v>51.467505241090137</v>
      </c>
      <c r="L250" s="580">
        <v>58.159582055103769</v>
      </c>
      <c r="M250" s="580">
        <v>48.170905710569059</v>
      </c>
      <c r="N250" s="580">
        <v>65.585062125902013</v>
      </c>
    </row>
    <row r="251" spans="1:14" ht="14">
      <c r="A251" s="239"/>
      <c r="B251" s="576" t="s">
        <v>115</v>
      </c>
      <c r="C251" s="580">
        <v>50</v>
      </c>
      <c r="D251" s="580">
        <v>54.767112712300573</v>
      </c>
      <c r="E251" s="580">
        <v>62.969535640343082</v>
      </c>
      <c r="F251" s="580">
        <v>47.793599323276467</v>
      </c>
      <c r="G251" s="580">
        <v>60.452233926625503</v>
      </c>
      <c r="H251" s="580">
        <v>50</v>
      </c>
      <c r="I251" s="580">
        <v>68.604651162790674</v>
      </c>
      <c r="J251" s="580">
        <v>37.48091603053436</v>
      </c>
      <c r="K251" s="580">
        <v>78.318584070796476</v>
      </c>
      <c r="L251" s="580">
        <v>57.505523594258939</v>
      </c>
      <c r="M251" s="580">
        <v>53.425440911586733</v>
      </c>
      <c r="N251" s="580">
        <v>59.318263636554477</v>
      </c>
    </row>
    <row r="252" spans="1:14" ht="14">
      <c r="A252" s="240"/>
      <c r="B252" s="577" t="s">
        <v>116</v>
      </c>
      <c r="C252" s="582">
        <v>50</v>
      </c>
      <c r="D252" s="582">
        <v>49.510395707578809</v>
      </c>
      <c r="E252" s="582">
        <v>49.815214043732681</v>
      </c>
      <c r="F252" s="582">
        <v>42.149122807017527</v>
      </c>
      <c r="G252" s="582">
        <v>45.605219739013052</v>
      </c>
      <c r="H252" s="582">
        <v>57.297514033680827</v>
      </c>
      <c r="I252" s="582">
        <v>56.674684305472042</v>
      </c>
      <c r="J252" s="582">
        <v>54.618320610687029</v>
      </c>
      <c r="K252" s="582">
        <v>40.592334494773539</v>
      </c>
      <c r="L252" s="582">
        <v>64.791591636611216</v>
      </c>
      <c r="M252" s="582">
        <v>57.172131147540981</v>
      </c>
      <c r="N252" s="582">
        <v>66.778781240999876</v>
      </c>
    </row>
    <row r="253" spans="1:14" ht="14">
      <c r="A253" s="238">
        <v>2023</v>
      </c>
      <c r="B253" s="573" t="s">
        <v>105</v>
      </c>
      <c r="C253" s="578">
        <v>50</v>
      </c>
      <c r="D253" s="578">
        <v>50.344957350727547</v>
      </c>
      <c r="E253" s="578">
        <v>51.6728624535316</v>
      </c>
      <c r="F253" s="578">
        <v>59.552193183554948</v>
      </c>
      <c r="G253" s="578">
        <v>54.31693989071038</v>
      </c>
      <c r="H253" s="578">
        <v>50</v>
      </c>
      <c r="I253" s="578">
        <v>47.189623224212482</v>
      </c>
      <c r="J253" s="578">
        <v>54.182655410590947</v>
      </c>
      <c r="K253" s="578">
        <v>50</v>
      </c>
      <c r="L253" s="578">
        <v>41.165721245781427</v>
      </c>
      <c r="M253" s="578">
        <v>58.682922888928211</v>
      </c>
      <c r="N253" s="578">
        <v>55.348423159069092</v>
      </c>
    </row>
    <row r="254" spans="1:14" ht="14">
      <c r="A254" s="239"/>
      <c r="B254" s="573" t="s">
        <v>106</v>
      </c>
      <c r="C254" s="580">
        <v>50</v>
      </c>
      <c r="D254" s="580">
        <v>93.669916434540397</v>
      </c>
      <c r="E254" s="580">
        <v>53.654791154791162</v>
      </c>
      <c r="F254" s="580">
        <v>57.069970845481038</v>
      </c>
      <c r="G254" s="580">
        <v>57.263395963813487</v>
      </c>
      <c r="H254" s="580">
        <v>52.225633154259398</v>
      </c>
      <c r="I254" s="580">
        <v>51.946847960444998</v>
      </c>
      <c r="J254" s="580">
        <v>51.650038372985421</v>
      </c>
      <c r="K254" s="580">
        <v>59.201388888888857</v>
      </c>
      <c r="L254" s="580">
        <v>60.301512961347058</v>
      </c>
      <c r="M254" s="580">
        <v>50.913879226342083</v>
      </c>
      <c r="N254" s="580">
        <v>50.135192503139002</v>
      </c>
    </row>
    <row r="255" spans="1:14" ht="14">
      <c r="A255" s="239"/>
      <c r="B255" s="573" t="s">
        <v>107</v>
      </c>
      <c r="C255" s="580">
        <v>50</v>
      </c>
      <c r="D255" s="580">
        <v>54.246111389864517</v>
      </c>
      <c r="E255" s="580">
        <v>52.154027736795513</v>
      </c>
      <c r="F255" s="580">
        <v>58.319964999270823</v>
      </c>
      <c r="G255" s="580">
        <v>55.135898340981292</v>
      </c>
      <c r="H255" s="580">
        <v>56.513243595310463</v>
      </c>
      <c r="I255" s="580">
        <v>53.925014645577043</v>
      </c>
      <c r="J255" s="580">
        <v>54.643131235610127</v>
      </c>
      <c r="K255" s="580">
        <v>54.200819672131153</v>
      </c>
      <c r="L255" s="580">
        <v>52.472764035381338</v>
      </c>
      <c r="M255" s="580">
        <v>49.288435886332557</v>
      </c>
      <c r="N255" s="580">
        <v>69.79868241654772</v>
      </c>
    </row>
    <row r="256" spans="1:14" ht="14">
      <c r="A256" s="239"/>
      <c r="B256" s="573" t="s">
        <v>108</v>
      </c>
      <c r="C256" s="580">
        <v>50</v>
      </c>
      <c r="D256" s="580">
        <v>54.717720857292207</v>
      </c>
      <c r="E256" s="580">
        <v>46.851726472579557</v>
      </c>
      <c r="F256" s="580">
        <v>50.366197183098592</v>
      </c>
      <c r="G256" s="580">
        <v>51.694316978468059</v>
      </c>
      <c r="H256" s="580">
        <v>45.029108822212272</v>
      </c>
      <c r="I256" s="580">
        <v>46.176644931831653</v>
      </c>
      <c r="J256" s="580">
        <v>50.230237912509587</v>
      </c>
      <c r="K256" s="580">
        <v>59.701492537313413</v>
      </c>
      <c r="L256" s="580">
        <v>56.546452371618962</v>
      </c>
      <c r="M256" s="580">
        <v>63.994496048615993</v>
      </c>
      <c r="N256" s="580">
        <v>48.370561653047318</v>
      </c>
    </row>
    <row r="257" spans="1:14" ht="14">
      <c r="A257" s="239"/>
      <c r="B257" s="573" t="s">
        <v>109</v>
      </c>
      <c r="C257" s="580">
        <v>50</v>
      </c>
      <c r="D257" s="580">
        <v>68.412028488525451</v>
      </c>
      <c r="E257" s="580">
        <v>50.921658986175117</v>
      </c>
      <c r="F257" s="580">
        <v>52.609786700125468</v>
      </c>
      <c r="G257" s="580">
        <v>56.352134949920931</v>
      </c>
      <c r="H257" s="580">
        <v>56.918238993710688</v>
      </c>
      <c r="I257" s="580">
        <v>52.939412117576488</v>
      </c>
      <c r="J257" s="580">
        <v>50</v>
      </c>
      <c r="K257" s="580">
        <v>62.248628884826303</v>
      </c>
      <c r="L257" s="580">
        <v>44.417356872540118</v>
      </c>
      <c r="M257" s="580">
        <v>56.590317223854768</v>
      </c>
      <c r="N257" s="580">
        <v>42.999583971198291</v>
      </c>
    </row>
    <row r="258" spans="1:14" ht="14">
      <c r="A258" s="239"/>
      <c r="B258" s="573" t="s">
        <v>110</v>
      </c>
      <c r="C258" s="580">
        <v>50</v>
      </c>
      <c r="D258" s="580">
        <v>53.26987394684464</v>
      </c>
      <c r="E258" s="580">
        <v>64.795573799419927</v>
      </c>
      <c r="F258" s="580">
        <v>61.143659164207712</v>
      </c>
      <c r="G258" s="580">
        <v>51.107087243234183</v>
      </c>
      <c r="H258" s="580">
        <v>64.741880106729724</v>
      </c>
      <c r="I258" s="580">
        <v>49.76193345459162</v>
      </c>
      <c r="J258" s="580">
        <v>52.972453825797373</v>
      </c>
      <c r="K258" s="580">
        <v>58.888912595999741</v>
      </c>
      <c r="L258" s="580">
        <v>58.07483505117402</v>
      </c>
      <c r="M258" s="580">
        <v>45.22845929057349</v>
      </c>
      <c r="N258" s="580">
        <v>57.024146394064367</v>
      </c>
    </row>
    <row r="259" spans="1:14" ht="14">
      <c r="A259" s="239"/>
      <c r="B259" s="573" t="s">
        <v>117</v>
      </c>
      <c r="C259" s="580">
        <v>50</v>
      </c>
      <c r="D259" s="580">
        <v>86.843798250128671</v>
      </c>
      <c r="E259" s="580">
        <v>53.943217665615137</v>
      </c>
      <c r="F259" s="580">
        <v>54.58437110834371</v>
      </c>
      <c r="G259" s="580">
        <v>52.993068683049778</v>
      </c>
      <c r="H259" s="580">
        <v>87.127805771873568</v>
      </c>
      <c r="I259" s="580">
        <v>49.966931216931208</v>
      </c>
      <c r="J259" s="580">
        <v>50</v>
      </c>
      <c r="K259" s="580">
        <v>59.772296015180252</v>
      </c>
      <c r="L259" s="580">
        <v>53.230597846268097</v>
      </c>
      <c r="M259" s="580">
        <v>69.00097794403878</v>
      </c>
      <c r="N259" s="580">
        <v>62.253016841267737</v>
      </c>
    </row>
    <row r="260" spans="1:14" ht="14">
      <c r="A260" s="239"/>
      <c r="B260" s="576" t="s">
        <v>112</v>
      </c>
      <c r="C260" s="580">
        <v>50</v>
      </c>
      <c r="D260" s="580">
        <v>53.301369863013697</v>
      </c>
      <c r="E260" s="580">
        <v>54.842931937172779</v>
      </c>
      <c r="F260" s="580">
        <v>51.694681730504271</v>
      </c>
      <c r="G260" s="580">
        <v>54.792472740063317</v>
      </c>
      <c r="H260" s="580">
        <v>50</v>
      </c>
      <c r="I260" s="580">
        <v>51.105651105651113</v>
      </c>
      <c r="J260" s="580">
        <v>51.227935533384503</v>
      </c>
      <c r="K260" s="580">
        <v>50.173010380622827</v>
      </c>
      <c r="L260" s="580">
        <v>61.802454218633628</v>
      </c>
      <c r="M260" s="580">
        <v>53.573864595644103</v>
      </c>
      <c r="N260" s="580">
        <v>57.443525490680159</v>
      </c>
    </row>
    <row r="261" spans="1:14" ht="14">
      <c r="A261" s="239"/>
      <c r="B261" s="576" t="s">
        <v>113</v>
      </c>
      <c r="C261" s="580">
        <v>50</v>
      </c>
      <c r="D261" s="580">
        <v>50.432579409220118</v>
      </c>
      <c r="E261" s="580">
        <v>55.288985823336972</v>
      </c>
      <c r="F261" s="580">
        <v>51.400560224089638</v>
      </c>
      <c r="G261" s="580">
        <v>54.91688783349629</v>
      </c>
      <c r="H261" s="580">
        <v>55.093224192814922</v>
      </c>
      <c r="I261" s="580">
        <v>52.224253503961002</v>
      </c>
      <c r="J261" s="580">
        <v>50.863392171910967</v>
      </c>
      <c r="K261" s="580">
        <v>49.033391915641481</v>
      </c>
      <c r="L261" s="580">
        <v>51.530612244897959</v>
      </c>
      <c r="M261" s="580">
        <v>61.829433632188952</v>
      </c>
      <c r="N261" s="580">
        <v>50.803529407263142</v>
      </c>
    </row>
    <row r="262" spans="1:14" ht="14">
      <c r="A262" s="239"/>
      <c r="B262" s="576" t="s">
        <v>114</v>
      </c>
      <c r="C262" s="580">
        <v>50</v>
      </c>
      <c r="D262" s="580">
        <v>58.974618063733331</v>
      </c>
      <c r="E262" s="580">
        <v>55.296017818337923</v>
      </c>
      <c r="F262" s="580">
        <v>52.258938764236987</v>
      </c>
      <c r="G262" s="580">
        <v>55.605923374231033</v>
      </c>
      <c r="H262" s="580">
        <v>51.73020924057726</v>
      </c>
      <c r="I262" s="580">
        <v>59.940460112078597</v>
      </c>
      <c r="J262" s="580">
        <v>49.567755311921381</v>
      </c>
      <c r="K262" s="580">
        <v>51.492985994860383</v>
      </c>
      <c r="L262" s="580">
        <v>50.207886986620331</v>
      </c>
      <c r="M262" s="580">
        <v>51.873362838490173</v>
      </c>
      <c r="N262" s="580">
        <v>60.870007074051109</v>
      </c>
    </row>
    <row r="263" spans="1:14" ht="14">
      <c r="A263" s="239"/>
      <c r="B263" s="576" t="s">
        <v>115</v>
      </c>
      <c r="C263" s="580">
        <v>50</v>
      </c>
      <c r="D263" s="580">
        <v>56.228999741535283</v>
      </c>
      <c r="E263" s="580">
        <v>52.563743345474933</v>
      </c>
      <c r="F263" s="580">
        <v>48.550053987351532</v>
      </c>
      <c r="G263" s="580">
        <v>53.432536059886793</v>
      </c>
      <c r="H263" s="580">
        <v>51.64072360117796</v>
      </c>
      <c r="I263" s="580">
        <v>50.323475046210717</v>
      </c>
      <c r="J263" s="580">
        <v>50.134305448963929</v>
      </c>
      <c r="K263" s="580">
        <v>53.258845437616387</v>
      </c>
      <c r="L263" s="580">
        <v>54.297202320432667</v>
      </c>
      <c r="M263" s="580">
        <v>45.820191460821754</v>
      </c>
      <c r="N263" s="580">
        <v>54.462125280739798</v>
      </c>
    </row>
    <row r="264" spans="1:14" ht="14">
      <c r="A264" s="240"/>
      <c r="B264" s="577" t="s">
        <v>116</v>
      </c>
      <c r="C264" s="582">
        <v>50</v>
      </c>
      <c r="D264" s="582">
        <v>55.345806882726357</v>
      </c>
      <c r="E264" s="582">
        <v>55.317951603826678</v>
      </c>
      <c r="F264" s="582">
        <v>55.719398711524697</v>
      </c>
      <c r="G264" s="582">
        <v>56.50625601539943</v>
      </c>
      <c r="H264" s="582">
        <v>49.755011135857458</v>
      </c>
      <c r="I264" s="582">
        <v>55.493827160493836</v>
      </c>
      <c r="J264" s="582">
        <v>50.426026336173507</v>
      </c>
      <c r="K264" s="582">
        <v>11.25703564727956</v>
      </c>
      <c r="L264" s="582">
        <v>52.597005805071802</v>
      </c>
      <c r="M264" s="582">
        <v>70.886925437561132</v>
      </c>
      <c r="N264" s="582">
        <v>53.714131369135607</v>
      </c>
    </row>
    <row r="265" spans="1:14" ht="14">
      <c r="A265" s="238">
        <v>2024</v>
      </c>
      <c r="B265" s="575" t="s">
        <v>105</v>
      </c>
      <c r="C265" s="578">
        <v>50</v>
      </c>
      <c r="D265" s="578">
        <v>51.309121621621621</v>
      </c>
      <c r="E265" s="578">
        <v>46.706896551724142</v>
      </c>
      <c r="F265" s="578">
        <v>60.559407685979558</v>
      </c>
      <c r="G265" s="578">
        <v>58.478529290711997</v>
      </c>
      <c r="H265" s="578">
        <v>50</v>
      </c>
      <c r="I265" s="578">
        <v>51.920838183934798</v>
      </c>
      <c r="J265" s="578">
        <v>52.633573323228489</v>
      </c>
      <c r="K265" s="578">
        <v>71.875</v>
      </c>
      <c r="L265" s="578">
        <v>49.092028316405049</v>
      </c>
      <c r="M265" s="578">
        <v>72.174803687265296</v>
      </c>
      <c r="N265" s="578">
        <v>63.728717366628828</v>
      </c>
    </row>
    <row r="266" spans="1:14" ht="14">
      <c r="A266" s="239"/>
      <c r="B266" s="576" t="s">
        <v>106</v>
      </c>
      <c r="C266" s="580">
        <v>50</v>
      </c>
      <c r="D266" s="580">
        <v>54.671618451915563</v>
      </c>
      <c r="E266" s="580">
        <v>54.801493043773327</v>
      </c>
      <c r="F266" s="580">
        <v>47.072014351614563</v>
      </c>
      <c r="G266" s="580">
        <v>58.433838731909027</v>
      </c>
      <c r="H266" s="580">
        <v>50</v>
      </c>
      <c r="I266" s="580">
        <v>52.784360189573462</v>
      </c>
      <c r="J266" s="580">
        <v>56.138688897309592</v>
      </c>
      <c r="K266" s="580">
        <v>75.889967637540465</v>
      </c>
      <c r="L266" s="580">
        <v>57.206790123456791</v>
      </c>
      <c r="M266" s="580">
        <v>81.039949270767295</v>
      </c>
      <c r="N266" s="580">
        <v>54.15389853592103</v>
      </c>
    </row>
    <row r="267" spans="1:14" ht="14">
      <c r="A267" s="239"/>
      <c r="B267" s="576" t="s">
        <v>107</v>
      </c>
      <c r="C267" s="580">
        <v>50</v>
      </c>
      <c r="D267" s="580">
        <v>56.356089703878077</v>
      </c>
      <c r="E267" s="580">
        <v>46.593121349772872</v>
      </c>
      <c r="F267" s="580">
        <v>53.161516489223573</v>
      </c>
      <c r="G267" s="580">
        <v>52.633127390408937</v>
      </c>
      <c r="H267" s="580">
        <v>83.681710213776711</v>
      </c>
      <c r="I267" s="580">
        <v>55.892448512585808</v>
      </c>
      <c r="J267" s="580">
        <v>56.612353164077298</v>
      </c>
      <c r="K267" s="580">
        <v>73.870967741935488</v>
      </c>
      <c r="L267" s="580">
        <v>50.405092592592602</v>
      </c>
      <c r="M267" s="580">
        <v>78.947368421052644</v>
      </c>
      <c r="N267" s="580">
        <v>70.682325433095968</v>
      </c>
    </row>
    <row r="268" spans="1:14" ht="14">
      <c r="A268" s="239"/>
      <c r="B268" s="576" t="s">
        <v>108</v>
      </c>
      <c r="C268" s="580">
        <v>50</v>
      </c>
      <c r="D268" s="580">
        <v>55.778833272439407</v>
      </c>
      <c r="E268" s="580">
        <v>47.148676171079423</v>
      </c>
      <c r="F268" s="580">
        <v>67.376205787781359</v>
      </c>
      <c r="G268" s="580">
        <v>60.725738396624472</v>
      </c>
      <c r="H268" s="580">
        <v>52.646544181977262</v>
      </c>
      <c r="I268" s="580">
        <v>57.475786924939463</v>
      </c>
      <c r="J268" s="580">
        <v>69.308700834326572</v>
      </c>
      <c r="K268" s="580">
        <v>74.519230769230774</v>
      </c>
      <c r="L268" s="580">
        <v>57.815598149372107</v>
      </c>
      <c r="M268" s="580">
        <v>75.707949505288312</v>
      </c>
      <c r="N268" s="580">
        <v>72.580464908359403</v>
      </c>
    </row>
    <row r="269" spans="1:14" ht="14">
      <c r="A269" s="239"/>
      <c r="B269" s="576" t="s">
        <v>109</v>
      </c>
      <c r="C269" s="580">
        <v>50</v>
      </c>
      <c r="D269" s="580">
        <v>55.845801158301157</v>
      </c>
      <c r="E269" s="580">
        <v>57.779720279720273</v>
      </c>
      <c r="F269" s="580">
        <v>41.862005032446028</v>
      </c>
      <c r="G269" s="580">
        <v>57.176079734219272</v>
      </c>
      <c r="H269" s="580">
        <v>56.671041119860021</v>
      </c>
      <c r="I269" s="580">
        <v>57.142857142857132</v>
      </c>
      <c r="J269" s="580">
        <v>56.138688897309592</v>
      </c>
      <c r="K269" s="580">
        <v>73.427672955974856</v>
      </c>
      <c r="L269" s="580">
        <v>64.626822991135271</v>
      </c>
      <c r="M269" s="580">
        <v>50.139751552795033</v>
      </c>
      <c r="N269" s="580">
        <v>68.757377401008711</v>
      </c>
    </row>
    <row r="270" spans="1:14" ht="14">
      <c r="A270" s="239"/>
      <c r="B270" s="576" t="s">
        <v>110</v>
      </c>
      <c r="C270" s="580">
        <v>50</v>
      </c>
      <c r="D270" s="580">
        <v>51.417929952953479</v>
      </c>
      <c r="E270" s="580">
        <v>61.638763683193822</v>
      </c>
      <c r="F270" s="580">
        <v>39.363022197711288</v>
      </c>
      <c r="G270" s="580">
        <v>53.696525983347691</v>
      </c>
      <c r="H270" s="580">
        <v>50.831146106736661</v>
      </c>
      <c r="I270" s="580">
        <v>57.326007326007307</v>
      </c>
      <c r="J270" s="580">
        <v>53.978779840848802</v>
      </c>
      <c r="K270" s="580">
        <v>69.195046439628499</v>
      </c>
      <c r="L270" s="580">
        <v>53.801782905086533</v>
      </c>
      <c r="M270" s="580">
        <v>50.166297117516628</v>
      </c>
      <c r="N270" s="580">
        <v>73.361884368308353</v>
      </c>
    </row>
    <row r="271" spans="1:14" ht="14">
      <c r="A271" s="239"/>
      <c r="B271" s="576" t="s">
        <v>117</v>
      </c>
      <c r="C271" s="580">
        <v>50</v>
      </c>
      <c r="D271" s="580">
        <v>55.00120656370656</v>
      </c>
      <c r="E271" s="580">
        <v>54.224137931034477</v>
      </c>
      <c r="F271" s="580">
        <v>56.256384065372828</v>
      </c>
      <c r="G271" s="580">
        <v>53.544520547945197</v>
      </c>
      <c r="H271" s="580">
        <v>56.671041119860021</v>
      </c>
      <c r="I271" s="580">
        <v>52.109328579916813</v>
      </c>
      <c r="J271" s="580">
        <v>53.716351948573717</v>
      </c>
      <c r="K271" s="580">
        <v>71.044303797468359</v>
      </c>
      <c r="L271" s="580">
        <v>56.60573808422027</v>
      </c>
      <c r="M271" s="580">
        <v>50.215053763440856</v>
      </c>
      <c r="N271" s="580">
        <v>63.169319826338644</v>
      </c>
    </row>
    <row r="272" spans="1:14" ht="14">
      <c r="A272" s="239"/>
      <c r="B272" s="576" t="s">
        <v>112</v>
      </c>
      <c r="C272" s="580">
        <v>50</v>
      </c>
      <c r="D272" s="580">
        <v>50</v>
      </c>
      <c r="E272" s="580">
        <v>52.903124013884508</v>
      </c>
      <c r="F272" s="580">
        <v>52.314935914203502</v>
      </c>
      <c r="G272" s="580">
        <v>51.77471399237313</v>
      </c>
      <c r="H272" s="580">
        <v>82.608695652173907</v>
      </c>
      <c r="I272" s="580">
        <v>52.672864613596737</v>
      </c>
      <c r="J272" s="580">
        <v>53.560431100846813</v>
      </c>
      <c r="K272" s="580">
        <v>73.628048780487802</v>
      </c>
      <c r="L272" s="580">
        <v>55.102516309412863</v>
      </c>
      <c r="M272" s="580">
        <v>50.153846153846153</v>
      </c>
      <c r="N272" s="580">
        <v>61.153372860498934</v>
      </c>
    </row>
    <row r="273" spans="1:14" ht="14">
      <c r="A273" s="239"/>
      <c r="B273" s="576" t="s">
        <v>113</v>
      </c>
      <c r="C273" s="580">
        <v>50</v>
      </c>
      <c r="D273" s="580">
        <v>50</v>
      </c>
      <c r="E273" s="580">
        <v>57.440100882723833</v>
      </c>
      <c r="F273" s="580">
        <v>50.151768098345727</v>
      </c>
      <c r="G273" s="580">
        <v>52.343170695536109</v>
      </c>
      <c r="H273" s="580">
        <v>50</v>
      </c>
      <c r="I273" s="580">
        <v>50.341491178144572</v>
      </c>
      <c r="J273" s="580">
        <v>54.218561671353953</v>
      </c>
      <c r="K273" s="580">
        <v>67.27019498607244</v>
      </c>
      <c r="L273" s="580">
        <v>56.841302136317402</v>
      </c>
      <c r="M273" s="580">
        <v>50.247908273938641</v>
      </c>
      <c r="N273" s="580">
        <v>60.567558490988482</v>
      </c>
    </row>
    <row r="274" spans="1:14" ht="14">
      <c r="A274" s="239"/>
      <c r="B274" s="576" t="s">
        <v>114</v>
      </c>
      <c r="C274" s="580">
        <v>50</v>
      </c>
      <c r="D274" s="580">
        <v>50</v>
      </c>
      <c r="E274" s="580">
        <v>52.832438878950512</v>
      </c>
      <c r="F274" s="580">
        <v>40.094275174204107</v>
      </c>
      <c r="G274" s="580">
        <v>44.466997443993407</v>
      </c>
      <c r="H274" s="580">
        <v>50.413424124513618</v>
      </c>
      <c r="I274" s="580">
        <v>50.35377358490566</v>
      </c>
      <c r="J274" s="580">
        <v>50</v>
      </c>
      <c r="K274" s="580">
        <v>70.810055865921797</v>
      </c>
      <c r="L274" s="580">
        <v>64.695520885757418</v>
      </c>
      <c r="M274" s="580">
        <v>50.139838408949657</v>
      </c>
      <c r="N274" s="580">
        <v>58.812260536398462</v>
      </c>
    </row>
    <row r="275" spans="1:14" ht="14">
      <c r="A275" s="239"/>
      <c r="B275" s="576" t="s">
        <v>115</v>
      </c>
      <c r="C275" s="580">
        <v>50</v>
      </c>
      <c r="D275" s="580">
        <v>50.048262548262549</v>
      </c>
      <c r="E275" s="580">
        <v>60.325906218822752</v>
      </c>
      <c r="F275" s="580">
        <v>52.076124567474047</v>
      </c>
      <c r="G275" s="580">
        <v>54.204936854190592</v>
      </c>
      <c r="H275" s="580">
        <v>50</v>
      </c>
      <c r="I275" s="580">
        <v>49.558693733451022</v>
      </c>
      <c r="J275" s="580">
        <v>53.790983606557383</v>
      </c>
      <c r="K275" s="580">
        <v>68.50746268656718</v>
      </c>
      <c r="L275" s="580">
        <v>46.188594014680973</v>
      </c>
      <c r="M275" s="580">
        <v>53.237156931738213</v>
      </c>
      <c r="N275" s="580">
        <v>58.480486719097783</v>
      </c>
    </row>
    <row r="276" spans="1:14" ht="14">
      <c r="A276" s="240"/>
      <c r="B276" s="577" t="s">
        <v>116</v>
      </c>
      <c r="C276" s="582">
        <v>50</v>
      </c>
      <c r="D276" s="582">
        <v>48.767825869402053</v>
      </c>
      <c r="E276" s="582">
        <v>55.701027510772292</v>
      </c>
      <c r="F276" s="582">
        <v>50.621321124918254</v>
      </c>
      <c r="G276" s="582">
        <v>58.460282916213274</v>
      </c>
      <c r="H276" s="582">
        <v>86.502918287937746</v>
      </c>
      <c r="I276" s="582">
        <v>51.304347826086953</v>
      </c>
      <c r="J276" s="582">
        <v>54.600241060666932</v>
      </c>
      <c r="K276" s="582">
        <v>72.064056939501796</v>
      </c>
      <c r="L276" s="582">
        <v>52.684159845931639</v>
      </c>
      <c r="M276" s="582">
        <v>50</v>
      </c>
      <c r="N276" s="582">
        <v>53.938252096754582</v>
      </c>
    </row>
    <row r="277" spans="1:14" ht="14">
      <c r="A277" s="238">
        <v>2025</v>
      </c>
      <c r="B277" s="575" t="s">
        <v>105</v>
      </c>
      <c r="C277" s="578">
        <v>50</v>
      </c>
      <c r="D277" s="578">
        <v>55.335603803036747</v>
      </c>
      <c r="E277" s="578">
        <v>54.627766599597578</v>
      </c>
      <c r="F277" s="578">
        <v>63.271696987772131</v>
      </c>
      <c r="G277" s="578">
        <v>82.881821751079698</v>
      </c>
      <c r="H277" s="578">
        <v>49.755229194481529</v>
      </c>
      <c r="I277" s="578">
        <v>57.384726224783861</v>
      </c>
      <c r="J277" s="578">
        <v>54.026416702172988</v>
      </c>
      <c r="K277" s="578">
        <v>50</v>
      </c>
      <c r="L277" s="578">
        <v>52.985267510984762</v>
      </c>
      <c r="M277" s="578">
        <v>50.244242847173759</v>
      </c>
      <c r="N277" s="578">
        <v>54.975286160249738</v>
      </c>
    </row>
    <row r="278" spans="1:14" ht="14">
      <c r="A278" s="239"/>
      <c r="B278" s="576" t="s">
        <v>106</v>
      </c>
      <c r="C278" s="580">
        <v>50</v>
      </c>
      <c r="D278" s="580">
        <v>55.304299274148519</v>
      </c>
      <c r="E278" s="580">
        <v>56.706989247311817</v>
      </c>
      <c r="F278" s="580">
        <v>54.073294540051997</v>
      </c>
      <c r="G278" s="580">
        <v>73.854775828460035</v>
      </c>
      <c r="H278" s="580">
        <v>50</v>
      </c>
      <c r="I278" s="580">
        <v>50.277337559429483</v>
      </c>
      <c r="J278" s="580">
        <v>53.741092636579573</v>
      </c>
      <c r="K278" s="580">
        <v>50.595238095238088</v>
      </c>
      <c r="L278" s="580">
        <v>51.627441161742617</v>
      </c>
      <c r="M278" s="580">
        <v>51.437587657784007</v>
      </c>
      <c r="N278" s="580">
        <v>58.55622663215415</v>
      </c>
    </row>
    <row r="279" spans="1:14" ht="14">
      <c r="A279" s="239"/>
      <c r="B279" s="576" t="s">
        <v>107</v>
      </c>
      <c r="C279" s="580">
        <v>50</v>
      </c>
      <c r="D279" s="580">
        <v>55.941121619821502</v>
      </c>
      <c r="E279" s="580">
        <v>52.230320699708457</v>
      </c>
      <c r="F279" s="580">
        <v>51.828950794064049</v>
      </c>
      <c r="G279" s="580">
        <v>55.718817832693283</v>
      </c>
      <c r="H279" s="580">
        <v>49.755229194481529</v>
      </c>
      <c r="I279" s="580">
        <v>52.120141342756177</v>
      </c>
      <c r="J279" s="580">
        <v>54.163424124513618</v>
      </c>
      <c r="K279" s="580">
        <v>74.924012158054722</v>
      </c>
      <c r="L279" s="580">
        <v>52.110441129800073</v>
      </c>
      <c r="M279" s="580">
        <v>51.15033716779056</v>
      </c>
      <c r="N279" s="580">
        <v>67.186163060750516</v>
      </c>
    </row>
    <row r="280" spans="1:14" ht="14">
      <c r="A280" s="239"/>
      <c r="B280" s="576" t="s">
        <v>108</v>
      </c>
      <c r="C280" s="580">
        <v>50</v>
      </c>
      <c r="D280" s="580">
        <v>56.456953642384107</v>
      </c>
      <c r="E280" s="580">
        <v>63.861799944274203</v>
      </c>
      <c r="F280" s="580">
        <v>55.78975814079179</v>
      </c>
      <c r="G280" s="580">
        <v>46.164099526066352</v>
      </c>
      <c r="H280" s="580">
        <v>79.646596858638745</v>
      </c>
      <c r="I280" s="580">
        <v>51.29551820728291</v>
      </c>
      <c r="J280" s="580">
        <v>54.059350503919369</v>
      </c>
      <c r="K280" s="580">
        <v>70.245398773006144</v>
      </c>
      <c r="L280" s="580">
        <v>51.629103380695739</v>
      </c>
      <c r="M280" s="580">
        <v>52.538586515028427</v>
      </c>
      <c r="N280" s="580">
        <v>69.723415682062267</v>
      </c>
    </row>
    <row r="281" spans="1:14" ht="14">
      <c r="A281" s="239"/>
      <c r="B281" s="576" t="s">
        <v>109</v>
      </c>
      <c r="C281" s="580">
        <v>50</v>
      </c>
      <c r="D281" s="580">
        <v>51.775614888859657</v>
      </c>
      <c r="E281" s="580">
        <v>53.916801728795242</v>
      </c>
      <c r="F281" s="580">
        <v>51.676727028839707</v>
      </c>
      <c r="G281" s="580">
        <v>66.557928034796362</v>
      </c>
      <c r="H281" s="580">
        <v>54.944211117075213</v>
      </c>
      <c r="I281" s="580">
        <v>50.316742081447963</v>
      </c>
      <c r="J281" s="580">
        <v>57.033866765909941</v>
      </c>
      <c r="K281" s="580">
        <v>53.980891719745223</v>
      </c>
      <c r="L281" s="580">
        <v>57.406938465434287</v>
      </c>
      <c r="M281" s="580">
        <v>50.078027465667923</v>
      </c>
      <c r="N281" s="580">
        <v>48.914236683100853</v>
      </c>
    </row>
    <row r="282" spans="1:14" ht="14">
      <c r="A282" s="239"/>
      <c r="B282" s="576" t="s">
        <v>110</v>
      </c>
      <c r="C282" s="584">
        <v>50</v>
      </c>
      <c r="D282" s="584">
        <v>80.154005435485971</v>
      </c>
      <c r="E282" s="584">
        <v>57.423208191126271</v>
      </c>
      <c r="F282" s="584">
        <v>53.322400388726919</v>
      </c>
      <c r="G282" s="584">
        <v>54.597141000649771</v>
      </c>
      <c r="H282" s="584">
        <v>79.081939029925948</v>
      </c>
      <c r="I282" s="584">
        <v>53.885135135135137</v>
      </c>
      <c r="J282" s="584">
        <v>56.715575620767503</v>
      </c>
      <c r="K282" s="584">
        <v>53.797468354430379</v>
      </c>
      <c r="L282" s="594">
        <v>60.649960845732188</v>
      </c>
      <c r="M282" s="594">
        <v>51.362088535754822</v>
      </c>
      <c r="N282" s="594">
        <v>61.935024675328172</v>
      </c>
    </row>
    <row r="283" spans="1:14" ht="14">
      <c r="A283" s="239"/>
      <c r="B283" s="576" t="s">
        <v>117</v>
      </c>
      <c r="C283" s="584">
        <v>50</v>
      </c>
      <c r="D283" s="584">
        <v>81.05775922059847</v>
      </c>
      <c r="E283" s="584">
        <v>63.025700934579461</v>
      </c>
      <c r="F283" s="584">
        <v>49.277247759468047</v>
      </c>
      <c r="G283" s="584">
        <v>50.812736584279669</v>
      </c>
      <c r="H283" s="584">
        <v>62.489310855644852</v>
      </c>
      <c r="I283" s="584">
        <v>51.416309012875537</v>
      </c>
      <c r="J283" s="584">
        <v>50.913497390007457</v>
      </c>
      <c r="K283" s="584">
        <v>48.136645962732921</v>
      </c>
      <c r="L283" s="594">
        <v>51.453143534994069</v>
      </c>
      <c r="M283" s="594">
        <v>51.080363912054587</v>
      </c>
      <c r="N283" s="594">
        <v>53.171152114108303</v>
      </c>
    </row>
    <row r="284" spans="1:14" ht="14">
      <c r="A284" s="239"/>
      <c r="B284" s="576" t="s">
        <v>112</v>
      </c>
      <c r="C284" s="584">
        <v>50</v>
      </c>
      <c r="D284" s="584">
        <v>80.537425357589228</v>
      </c>
      <c r="E284" s="584">
        <v>52.708867978329053</v>
      </c>
      <c r="F284" s="584">
        <v>42.07611474013067</v>
      </c>
      <c r="G284" s="584">
        <v>60.500610500610499</v>
      </c>
      <c r="H284" s="584">
        <v>50</v>
      </c>
      <c r="I284" s="584">
        <v>54.116465863453818</v>
      </c>
      <c r="J284" s="584">
        <v>50</v>
      </c>
      <c r="K284" s="584">
        <v>71.238938053097343</v>
      </c>
      <c r="L284" s="594">
        <v>52.922173274596183</v>
      </c>
      <c r="M284" s="594">
        <v>50</v>
      </c>
      <c r="N284" s="594">
        <v>52.97224681660947</v>
      </c>
    </row>
    <row r="285" spans="1:14" ht="14">
      <c r="A285" s="239"/>
      <c r="B285" s="576" t="s">
        <v>113</v>
      </c>
      <c r="C285" s="584">
        <v>50</v>
      </c>
      <c r="D285" s="584">
        <v>80.082079343365265</v>
      </c>
      <c r="E285" s="584">
        <v>54.591836734693878</v>
      </c>
      <c r="F285" s="584">
        <v>43.898080741230999</v>
      </c>
      <c r="G285" s="584">
        <v>71.790515585758612</v>
      </c>
      <c r="H285" s="584">
        <v>79.712971729865771</v>
      </c>
      <c r="I285" s="584">
        <v>54.668166479190099</v>
      </c>
      <c r="J285" s="584">
        <v>51.364306784660769</v>
      </c>
      <c r="K285" s="584">
        <v>72.073578595317741</v>
      </c>
      <c r="L285" s="594">
        <v>60.523489932885909</v>
      </c>
      <c r="M285" s="594">
        <v>51.074413052128932</v>
      </c>
      <c r="N285" s="594">
        <v>67.684880599706375</v>
      </c>
    </row>
    <row r="286" spans="1:14" ht="14">
      <c r="A286" s="239"/>
      <c r="B286" s="576" t="s">
        <v>114</v>
      </c>
      <c r="C286" s="584">
        <v>50</v>
      </c>
      <c r="D286" s="584">
        <v>92.021043402016659</v>
      </c>
      <c r="E286" s="584">
        <v>54.191706730769234</v>
      </c>
      <c r="F286" s="584">
        <v>40.249891665462982</v>
      </c>
      <c r="G286" s="584">
        <v>65.746180963572272</v>
      </c>
      <c r="H286" s="584">
        <v>52.376335928983117</v>
      </c>
      <c r="I286" s="584">
        <v>53.377386196769457</v>
      </c>
      <c r="J286" s="584">
        <v>50</v>
      </c>
      <c r="K286" s="584">
        <v>74.15384615384616</v>
      </c>
      <c r="L286" s="594">
        <v>63.775649794801637</v>
      </c>
      <c r="M286" s="594">
        <v>50.288303130148272</v>
      </c>
      <c r="N286" s="594">
        <v>61.299600651630698</v>
      </c>
    </row>
    <row r="287" spans="1:14" ht="14">
      <c r="A287" s="239"/>
      <c r="B287" s="576" t="s">
        <v>115</v>
      </c>
      <c r="C287" s="584">
        <v>50</v>
      </c>
      <c r="D287" s="584">
        <v>76.615746180963569</v>
      </c>
      <c r="E287" s="584">
        <v>54.121212121212118</v>
      </c>
      <c r="F287" s="584">
        <v>50.8</v>
      </c>
      <c r="G287" s="584">
        <v>60.351826792963458</v>
      </c>
      <c r="H287" s="584">
        <v>74.724669603524234</v>
      </c>
      <c r="I287" s="584">
        <v>50.295420974889218</v>
      </c>
      <c r="J287" s="584">
        <v>50.897571277719123</v>
      </c>
      <c r="K287" s="584">
        <v>75.46948356807512</v>
      </c>
      <c r="L287" s="594">
        <v>52.388289676425273</v>
      </c>
      <c r="M287" s="594">
        <v>50.063051702395967</v>
      </c>
      <c r="N287" s="594">
        <v>45.118549511854951</v>
      </c>
    </row>
    <row r="288" spans="1:14" ht="14">
      <c r="A288" s="240"/>
      <c r="B288" s="577" t="s">
        <v>116</v>
      </c>
      <c r="C288" s="586">
        <v>50</v>
      </c>
      <c r="D288" s="586">
        <v>91.928864569083444</v>
      </c>
      <c r="E288" s="586">
        <v>59.129581151832447</v>
      </c>
      <c r="F288" s="586">
        <v>55.473204104903083</v>
      </c>
      <c r="G288" s="586">
        <v>68.383802185988188</v>
      </c>
      <c r="H288" s="586">
        <v>51.120271813144853</v>
      </c>
      <c r="I288" s="586">
        <v>54.366640440597948</v>
      </c>
      <c r="J288" s="586">
        <v>51.041286079649247</v>
      </c>
      <c r="K288" s="586">
        <v>54.574132492113563</v>
      </c>
      <c r="L288" s="595">
        <v>52.78359146086229</v>
      </c>
      <c r="M288" s="595">
        <v>50.43891733723482</v>
      </c>
      <c r="N288" s="595">
        <v>51.466924510886273</v>
      </c>
    </row>
    <row r="289" spans="1:14" ht="14">
      <c r="A289" s="238">
        <v>2026</v>
      </c>
      <c r="B289" s="575" t="s">
        <v>105</v>
      </c>
      <c r="C289" s="684">
        <v>50</v>
      </c>
      <c r="D289" s="684">
        <v>79.011050496572949</v>
      </c>
      <c r="E289" s="684">
        <v>53.834969102144683</v>
      </c>
      <c r="F289" s="684">
        <v>65.093097611435027</v>
      </c>
      <c r="G289" s="684">
        <v>62.682641729982457</v>
      </c>
      <c r="H289" s="684">
        <v>39.053161371500472</v>
      </c>
      <c r="I289" s="684">
        <v>51.687763713080173</v>
      </c>
      <c r="J289" s="684">
        <v>50</v>
      </c>
      <c r="K289" s="684">
        <v>67.639902676399018</v>
      </c>
      <c r="L289" s="686">
        <v>60.79032258064516</v>
      </c>
      <c r="M289" s="686">
        <v>51.048417842165463</v>
      </c>
      <c r="N289" s="686">
        <v>54.618192026951149</v>
      </c>
    </row>
    <row r="290" spans="1:14" ht="14">
      <c r="A290" s="239"/>
      <c r="B290" s="576" t="s">
        <v>106</v>
      </c>
      <c r="C290" s="584">
        <v>50</v>
      </c>
      <c r="D290" s="584">
        <v>70.861589772095613</v>
      </c>
      <c r="E290" s="584">
        <v>51.959862025713392</v>
      </c>
      <c r="F290" s="584">
        <v>52.913135593220339</v>
      </c>
      <c r="G290" s="584">
        <v>58.200495926319519</v>
      </c>
      <c r="H290" s="584">
        <v>60.929648241206031</v>
      </c>
      <c r="I290" s="584">
        <v>54.729729729729733</v>
      </c>
      <c r="J290" s="584">
        <v>50</v>
      </c>
      <c r="K290" s="584">
        <v>74.006622516556291</v>
      </c>
      <c r="L290" s="594">
        <v>63.833384568090992</v>
      </c>
      <c r="M290" s="594">
        <v>50.856112946830883</v>
      </c>
      <c r="N290" s="594">
        <v>61.729779654307947</v>
      </c>
    </row>
    <row r="291" spans="1:14" ht="14">
      <c r="A291" s="240"/>
      <c r="B291" s="577" t="s">
        <v>107</v>
      </c>
      <c r="C291" s="586">
        <v>50</v>
      </c>
      <c r="D291" s="586">
        <v>92.186058769271312</v>
      </c>
      <c r="E291" s="586">
        <v>50.443786982248518</v>
      </c>
      <c r="F291" s="586">
        <v>54.138968027856919</v>
      </c>
      <c r="G291" s="586">
        <v>44.404803341454929</v>
      </c>
      <c r="H291" s="586">
        <v>64.588948787061994</v>
      </c>
      <c r="I291" s="586">
        <v>50.843170320404724</v>
      </c>
      <c r="J291" s="586">
        <v>52.36235119047619</v>
      </c>
      <c r="K291" s="586">
        <v>69.129287598944586</v>
      </c>
      <c r="L291" s="595">
        <v>60.23439629326792</v>
      </c>
      <c r="M291" s="595">
        <v>55.186721991701248</v>
      </c>
      <c r="N291" s="595">
        <v>50.665038002171549</v>
      </c>
    </row>
    <row r="293" spans="1:14" ht="14">
      <c r="A293" s="823" t="s">
        <v>350</v>
      </c>
      <c r="B293" s="823"/>
      <c r="C293" s="823"/>
      <c r="D293" s="823"/>
      <c r="E293" s="823"/>
      <c r="F293" s="823"/>
      <c r="G293" s="823"/>
      <c r="H293" s="823"/>
      <c r="I293" s="823"/>
      <c r="J293" s="823"/>
      <c r="K293" s="823"/>
      <c r="L293" s="823"/>
      <c r="M293" s="823"/>
      <c r="N293" s="823"/>
    </row>
    <row r="294" spans="1:14" ht="19" customHeight="1">
      <c r="A294" s="717" t="s">
        <v>98</v>
      </c>
      <c r="B294" s="718"/>
      <c r="C294" s="721" t="s">
        <v>322</v>
      </c>
      <c r="D294" s="824" t="s">
        <v>336</v>
      </c>
      <c r="E294" s="825"/>
      <c r="F294" s="825"/>
      <c r="G294" s="825"/>
      <c r="H294" s="825"/>
      <c r="I294" s="825"/>
      <c r="J294" s="825"/>
      <c r="K294" s="825"/>
      <c r="L294" s="825"/>
      <c r="M294" s="825"/>
      <c r="N294" s="826"/>
    </row>
    <row r="295" spans="1:14" ht="65.5" customHeight="1">
      <c r="A295" s="751"/>
      <c r="B295" s="752"/>
      <c r="C295" s="722"/>
      <c r="D295" s="376" t="s">
        <v>337</v>
      </c>
      <c r="E295" s="376" t="s">
        <v>215</v>
      </c>
      <c r="F295" s="376" t="s">
        <v>338</v>
      </c>
      <c r="G295" s="376" t="s">
        <v>339</v>
      </c>
      <c r="H295" s="376" t="s">
        <v>340</v>
      </c>
      <c r="I295" s="376" t="s">
        <v>341</v>
      </c>
      <c r="J295" s="277" t="s">
        <v>342</v>
      </c>
      <c r="K295" s="277" t="s">
        <v>343</v>
      </c>
      <c r="L295" s="277" t="s">
        <v>344</v>
      </c>
      <c r="M295" s="281" t="s">
        <v>345</v>
      </c>
      <c r="N295" s="281" t="s">
        <v>346</v>
      </c>
    </row>
    <row r="296" spans="1:14" ht="14">
      <c r="A296" s="238">
        <v>2020</v>
      </c>
      <c r="B296" s="572" t="s">
        <v>112</v>
      </c>
      <c r="C296" s="579">
        <v>50</v>
      </c>
      <c r="D296" s="578">
        <v>60.220014194464163</v>
      </c>
      <c r="E296" s="578">
        <v>60.270558917764333</v>
      </c>
      <c r="F296" s="578">
        <v>70.709295261239376</v>
      </c>
      <c r="G296" s="578">
        <v>54.467245461720601</v>
      </c>
      <c r="H296" s="578">
        <v>92.82242384964357</v>
      </c>
      <c r="I296" s="578">
        <v>72.190476190476204</v>
      </c>
      <c r="J296" s="578">
        <v>72.420524261015061</v>
      </c>
      <c r="K296" s="578">
        <v>53.020667726550073</v>
      </c>
      <c r="L296" s="579">
        <v>79.987025624391833</v>
      </c>
      <c r="M296" s="578">
        <v>73.833865814696495</v>
      </c>
      <c r="N296" s="578">
        <v>66.405144694533789</v>
      </c>
    </row>
    <row r="297" spans="1:14" ht="14">
      <c r="A297" s="239"/>
      <c r="B297" s="573" t="s">
        <v>113</v>
      </c>
      <c r="C297" s="581">
        <v>50</v>
      </c>
      <c r="D297" s="580">
        <v>83.61522198731501</v>
      </c>
      <c r="E297" s="580">
        <v>60.701692524682649</v>
      </c>
      <c r="F297" s="580">
        <v>61.942615824121233</v>
      </c>
      <c r="G297" s="580">
        <v>53.397212543554019</v>
      </c>
      <c r="H297" s="580">
        <v>90.244294439087128</v>
      </c>
      <c r="I297" s="580">
        <v>73.793615441722352</v>
      </c>
      <c r="J297" s="580">
        <v>72.27396197128445</v>
      </c>
      <c r="K297" s="580">
        <v>57.886435331230267</v>
      </c>
      <c r="L297" s="581">
        <v>72.432789775231385</v>
      </c>
      <c r="M297" s="580">
        <v>59.388275276125732</v>
      </c>
      <c r="N297" s="580">
        <v>54.476135040745064</v>
      </c>
    </row>
    <row r="298" spans="1:14" ht="14">
      <c r="A298" s="239"/>
      <c r="B298" s="573" t="s">
        <v>114</v>
      </c>
      <c r="C298" s="581">
        <v>50</v>
      </c>
      <c r="D298" s="580">
        <v>89.693301049233241</v>
      </c>
      <c r="E298" s="580">
        <v>60.105067985166883</v>
      </c>
      <c r="F298" s="580">
        <v>61.534412422687183</v>
      </c>
      <c r="G298" s="580">
        <v>64.107634112792297</v>
      </c>
      <c r="H298" s="580">
        <v>96.308574500492796</v>
      </c>
      <c r="I298" s="580">
        <v>72.384751773049658</v>
      </c>
      <c r="J298" s="580">
        <v>73.515715948777654</v>
      </c>
      <c r="K298" s="580">
        <v>49.921135646687702</v>
      </c>
      <c r="L298" s="581">
        <v>77.66917293233081</v>
      </c>
      <c r="M298" s="580">
        <v>63.247588424437289</v>
      </c>
      <c r="N298" s="580">
        <v>68.458274398868468</v>
      </c>
    </row>
    <row r="299" spans="1:14" ht="14">
      <c r="A299" s="239"/>
      <c r="B299" s="573" t="s">
        <v>115</v>
      </c>
      <c r="C299" s="581">
        <v>50</v>
      </c>
      <c r="D299" s="580">
        <v>85.133032519060208</v>
      </c>
      <c r="E299" s="580">
        <v>59.71159505591524</v>
      </c>
      <c r="F299" s="580">
        <v>62.350820487319723</v>
      </c>
      <c r="G299" s="580">
        <v>67.553865652724966</v>
      </c>
      <c r="H299" s="580">
        <v>88.764447630140666</v>
      </c>
      <c r="I299" s="580">
        <v>68.054583624912539</v>
      </c>
      <c r="J299" s="580">
        <v>81.296080714008525</v>
      </c>
      <c r="K299" s="580">
        <v>52.773375594294762</v>
      </c>
      <c r="L299" s="581">
        <v>70.211205632150183</v>
      </c>
      <c r="M299" s="580">
        <v>72.021563342318075</v>
      </c>
      <c r="N299" s="580">
        <v>66.288624001851659</v>
      </c>
    </row>
    <row r="300" spans="1:14" ht="14">
      <c r="A300" s="239"/>
      <c r="B300" s="574" t="s">
        <v>116</v>
      </c>
      <c r="C300" s="583">
        <v>50</v>
      </c>
      <c r="D300" s="582">
        <v>89.903914087890342</v>
      </c>
      <c r="E300" s="582">
        <v>58.709587513935347</v>
      </c>
      <c r="F300" s="582">
        <v>64.968814968814954</v>
      </c>
      <c r="G300" s="582">
        <v>59.93296770262036</v>
      </c>
      <c r="H300" s="582">
        <v>86.641088245552879</v>
      </c>
      <c r="I300" s="582">
        <v>71.62668665667168</v>
      </c>
      <c r="J300" s="582">
        <v>68.451688009313159</v>
      </c>
      <c r="K300" s="582">
        <v>53.915171288743878</v>
      </c>
      <c r="L300" s="583">
        <v>54.072822822822843</v>
      </c>
      <c r="M300" s="582">
        <v>38.762338648443439</v>
      </c>
      <c r="N300" s="582">
        <v>62.741810678359563</v>
      </c>
    </row>
    <row r="301" spans="1:14" ht="14">
      <c r="A301" s="238">
        <v>2021</v>
      </c>
      <c r="B301" s="573" t="s">
        <v>105</v>
      </c>
      <c r="C301" s="581">
        <v>50</v>
      </c>
      <c r="D301" s="580">
        <v>62.925909815861992</v>
      </c>
      <c r="E301" s="580">
        <v>59.29152148664344</v>
      </c>
      <c r="F301" s="580">
        <v>61.134699853587101</v>
      </c>
      <c r="G301" s="580">
        <v>68.821641448876662</v>
      </c>
      <c r="H301" s="580">
        <v>87.624030308497197</v>
      </c>
      <c r="I301" s="580">
        <v>72.35039653929347</v>
      </c>
      <c r="J301" s="580">
        <v>71.644226846185234</v>
      </c>
      <c r="K301" s="580">
        <v>56.179775280898873</v>
      </c>
      <c r="L301" s="581">
        <v>86.081997533908762</v>
      </c>
      <c r="M301" s="578">
        <v>52.793904208998548</v>
      </c>
      <c r="N301" s="578">
        <v>81.375770020533878</v>
      </c>
    </row>
    <row r="302" spans="1:14" ht="14">
      <c r="A302" s="239"/>
      <c r="B302" s="573" t="s">
        <v>106</v>
      </c>
      <c r="C302" s="581">
        <v>50</v>
      </c>
      <c r="D302" s="580">
        <v>48.144816730380043</v>
      </c>
      <c r="E302" s="580">
        <v>63.757082152974498</v>
      </c>
      <c r="F302" s="580">
        <v>71.792051620472222</v>
      </c>
      <c r="G302" s="580">
        <v>51.871272876825017</v>
      </c>
      <c r="H302" s="580">
        <v>88.950097213220999</v>
      </c>
      <c r="I302" s="580">
        <v>87.942913385826785</v>
      </c>
      <c r="J302" s="580">
        <v>70.767033863729097</v>
      </c>
      <c r="K302" s="580">
        <v>50.399201596806378</v>
      </c>
      <c r="L302" s="581">
        <v>59.717314487632471</v>
      </c>
      <c r="M302" s="580">
        <v>61.159003831417628</v>
      </c>
      <c r="N302" s="580">
        <v>73.834069710358364</v>
      </c>
    </row>
    <row r="303" spans="1:14" ht="14">
      <c r="A303" s="239"/>
      <c r="B303" s="573" t="s">
        <v>107</v>
      </c>
      <c r="C303" s="581">
        <v>50</v>
      </c>
      <c r="D303" s="580">
        <v>85.763306390117435</v>
      </c>
      <c r="E303" s="580">
        <v>57.355318461041072</v>
      </c>
      <c r="F303" s="580">
        <v>62.22523551241791</v>
      </c>
      <c r="G303" s="580">
        <v>64.103246407663647</v>
      </c>
      <c r="H303" s="580">
        <v>87.979218917950575</v>
      </c>
      <c r="I303" s="580">
        <v>73.144712430426736</v>
      </c>
      <c r="J303" s="580">
        <v>70.120294916569662</v>
      </c>
      <c r="K303" s="580">
        <v>63.884430176565033</v>
      </c>
      <c r="L303" s="581">
        <v>74.53576341127922</v>
      </c>
      <c r="M303" s="580">
        <v>71.339285714285722</v>
      </c>
      <c r="N303" s="580">
        <v>77.843706602701673</v>
      </c>
    </row>
    <row r="304" spans="1:14" ht="14">
      <c r="A304" s="239"/>
      <c r="B304" s="573" t="s">
        <v>108</v>
      </c>
      <c r="C304" s="581">
        <v>50</v>
      </c>
      <c r="D304" s="580">
        <v>59.956172388604841</v>
      </c>
      <c r="E304" s="580">
        <v>59.224965706447193</v>
      </c>
      <c r="F304" s="580">
        <v>50.971743625086113</v>
      </c>
      <c r="G304" s="580">
        <v>53.398831651619773</v>
      </c>
      <c r="H304" s="580">
        <v>65.320334261838426</v>
      </c>
      <c r="I304" s="580">
        <v>83.055311676909582</v>
      </c>
      <c r="J304" s="580">
        <v>54.50077599586136</v>
      </c>
      <c r="K304" s="580">
        <v>63.531353135313552</v>
      </c>
      <c r="L304" s="581">
        <v>72.162078564800495</v>
      </c>
      <c r="M304" s="580">
        <v>56.904955320877349</v>
      </c>
      <c r="N304" s="580">
        <v>77.108433734939752</v>
      </c>
    </row>
    <row r="305" spans="1:14" ht="14">
      <c r="A305" s="239"/>
      <c r="B305" s="573" t="s">
        <v>109</v>
      </c>
      <c r="C305" s="581">
        <v>50</v>
      </c>
      <c r="D305" s="580">
        <v>64.811972371450508</v>
      </c>
      <c r="E305" s="580">
        <v>66.483704974271021</v>
      </c>
      <c r="F305" s="580">
        <v>56.338675775091929</v>
      </c>
      <c r="G305" s="580">
        <v>60.30099654260728</v>
      </c>
      <c r="H305" s="580">
        <v>83.359253499222419</v>
      </c>
      <c r="I305" s="580">
        <v>72.174381054897751</v>
      </c>
      <c r="J305" s="580">
        <v>83.782129742962056</v>
      </c>
      <c r="K305" s="580">
        <v>59.640522875817013</v>
      </c>
      <c r="L305" s="581">
        <v>68.880597014925343</v>
      </c>
      <c r="M305" s="580">
        <v>87.003311258278146</v>
      </c>
      <c r="N305" s="580">
        <v>51.800472255017702</v>
      </c>
    </row>
    <row r="306" spans="1:14" ht="14">
      <c r="A306" s="239"/>
      <c r="B306" s="573" t="s">
        <v>110</v>
      </c>
      <c r="C306" s="581">
        <v>50</v>
      </c>
      <c r="D306" s="580">
        <v>61.307680967123723</v>
      </c>
      <c r="E306" s="580">
        <v>51.323792486583173</v>
      </c>
      <c r="F306" s="580">
        <v>50.642564609518409</v>
      </c>
      <c r="G306" s="580">
        <v>55.76216216216217</v>
      </c>
      <c r="H306" s="580">
        <v>58.229868747782902</v>
      </c>
      <c r="I306" s="580">
        <v>80.203045685279193</v>
      </c>
      <c r="J306" s="580">
        <v>66.829865361077111</v>
      </c>
      <c r="K306" s="580">
        <v>63.295269168026117</v>
      </c>
      <c r="L306" s="581">
        <v>56.41079713201178</v>
      </c>
      <c r="M306" s="580">
        <v>59.730769230769234</v>
      </c>
      <c r="N306" s="580">
        <v>73.042998897464159</v>
      </c>
    </row>
    <row r="307" spans="1:14" ht="14">
      <c r="A307" s="239"/>
      <c r="B307" s="573" t="s">
        <v>117</v>
      </c>
      <c r="C307" s="581">
        <v>50</v>
      </c>
      <c r="D307" s="580">
        <v>93.255522481591726</v>
      </c>
      <c r="E307" s="580">
        <v>53.001519756838903</v>
      </c>
      <c r="F307" s="580">
        <v>51.18729801882813</v>
      </c>
      <c r="G307" s="580">
        <v>61.187407563912949</v>
      </c>
      <c r="H307" s="580">
        <v>52.3050259965338</v>
      </c>
      <c r="I307" s="580">
        <v>74.656810982048583</v>
      </c>
      <c r="J307" s="580">
        <v>69.88984088127296</v>
      </c>
      <c r="K307" s="580">
        <v>60.446570972886782</v>
      </c>
      <c r="L307" s="581">
        <v>76.824212271973494</v>
      </c>
      <c r="M307" s="580">
        <v>65.349032800672845</v>
      </c>
      <c r="N307" s="580">
        <v>71.317983326716941</v>
      </c>
    </row>
    <row r="308" spans="1:14" ht="14">
      <c r="A308" s="239"/>
      <c r="B308" s="573" t="s">
        <v>112</v>
      </c>
      <c r="C308" s="581">
        <v>50</v>
      </c>
      <c r="D308" s="580">
        <v>89.769621241702481</v>
      </c>
      <c r="E308" s="580">
        <v>55.297050270045702</v>
      </c>
      <c r="F308" s="580">
        <v>54.511859745617031</v>
      </c>
      <c r="G308" s="580">
        <v>49.905392620624418</v>
      </c>
      <c r="H308" s="580">
        <v>31.677350427350468</v>
      </c>
      <c r="I308" s="580">
        <v>71.700105596620915</v>
      </c>
      <c r="J308" s="580">
        <v>54.737839545167411</v>
      </c>
      <c r="K308" s="580">
        <v>35.255354200988499</v>
      </c>
      <c r="L308" s="581">
        <v>65.016835016834989</v>
      </c>
      <c r="M308" s="580">
        <v>52.419354838709673</v>
      </c>
      <c r="N308" s="580">
        <v>69.860378971363446</v>
      </c>
    </row>
    <row r="309" spans="1:14" ht="14">
      <c r="A309" s="239"/>
      <c r="B309" s="573" t="s">
        <v>113</v>
      </c>
      <c r="C309" s="581">
        <v>50</v>
      </c>
      <c r="D309" s="580">
        <v>85.339974014725016</v>
      </c>
      <c r="E309" s="580">
        <v>54.895352962043283</v>
      </c>
      <c r="F309" s="580">
        <v>55.70275486927531</v>
      </c>
      <c r="G309" s="580">
        <v>44.486692015209137</v>
      </c>
      <c r="H309" s="580">
        <v>53.589743589743591</v>
      </c>
      <c r="I309" s="580">
        <v>62.337164750957903</v>
      </c>
      <c r="J309" s="580">
        <v>78.379136287156484</v>
      </c>
      <c r="K309" s="580">
        <v>52.892561983471097</v>
      </c>
      <c r="L309" s="581">
        <v>49.428934010152297</v>
      </c>
      <c r="M309" s="580">
        <v>26.363636363636331</v>
      </c>
      <c r="N309" s="580">
        <v>55.04458821472285</v>
      </c>
    </row>
    <row r="310" spans="1:14" ht="14">
      <c r="A310" s="239"/>
      <c r="B310" s="573" t="s">
        <v>114</v>
      </c>
      <c r="C310" s="581">
        <v>50</v>
      </c>
      <c r="D310" s="580">
        <v>75.575270307734954</v>
      </c>
      <c r="E310" s="580">
        <v>52.86284953395473</v>
      </c>
      <c r="F310" s="580">
        <v>55.782241014799148</v>
      </c>
      <c r="G310" s="580">
        <v>40.402086137281273</v>
      </c>
      <c r="H310" s="580">
        <v>82.159624413145536</v>
      </c>
      <c r="I310" s="580">
        <v>54.06342913776016</v>
      </c>
      <c r="J310" s="580">
        <v>83.03797468354432</v>
      </c>
      <c r="K310" s="580">
        <v>57.371225577264667</v>
      </c>
      <c r="L310" s="581">
        <v>54.969050894085242</v>
      </c>
      <c r="M310" s="580">
        <v>60.057471264367827</v>
      </c>
      <c r="N310" s="580">
        <v>57.897664071190199</v>
      </c>
    </row>
    <row r="311" spans="1:14" ht="14">
      <c r="A311" s="239"/>
      <c r="B311" s="573" t="s">
        <v>115</v>
      </c>
      <c r="C311" s="581">
        <v>50</v>
      </c>
      <c r="D311" s="580">
        <v>87.716308337703197</v>
      </c>
      <c r="E311" s="580">
        <v>61.247026843357119</v>
      </c>
      <c r="F311" s="580">
        <v>77.060439560439562</v>
      </c>
      <c r="G311" s="580">
        <v>45.137197597012502</v>
      </c>
      <c r="H311" s="580">
        <v>39.514866979655693</v>
      </c>
      <c r="I311" s="580">
        <v>78.915275994865198</v>
      </c>
      <c r="J311" s="580">
        <v>81.170886075949383</v>
      </c>
      <c r="K311" s="580">
        <v>83.141762452107258</v>
      </c>
      <c r="L311" s="581">
        <v>81.229143492769737</v>
      </c>
      <c r="M311" s="580">
        <v>17.375886524822679</v>
      </c>
      <c r="N311" s="580">
        <v>68.73123123123122</v>
      </c>
    </row>
    <row r="312" spans="1:14" ht="14">
      <c r="A312" s="240"/>
      <c r="B312" s="574" t="s">
        <v>116</v>
      </c>
      <c r="C312" s="583">
        <v>50</v>
      </c>
      <c r="D312" s="582">
        <v>87.222657269642383</v>
      </c>
      <c r="E312" s="588">
        <v>64.483997387328543</v>
      </c>
      <c r="F312" s="592">
        <v>73.729270594580001</v>
      </c>
      <c r="G312" s="592">
        <v>47.768143866409751</v>
      </c>
      <c r="H312" s="592">
        <v>87.565055762081769</v>
      </c>
      <c r="I312" s="582">
        <v>78.063118811881196</v>
      </c>
      <c r="J312" s="582">
        <v>52.517321016166278</v>
      </c>
      <c r="K312" s="588">
        <v>66.924398625429546</v>
      </c>
      <c r="L312" s="582">
        <v>77.450062421972504</v>
      </c>
      <c r="M312" s="582">
        <v>55.696902654867259</v>
      </c>
      <c r="N312" s="583">
        <v>83.292794162359371</v>
      </c>
    </row>
    <row r="313" spans="1:14" ht="14">
      <c r="A313" s="238">
        <v>2022</v>
      </c>
      <c r="B313" s="575" t="s">
        <v>105</v>
      </c>
      <c r="C313" s="578">
        <v>50</v>
      </c>
      <c r="D313" s="578">
        <v>68.477869737315586</v>
      </c>
      <c r="E313" s="578">
        <v>64.459982148170184</v>
      </c>
      <c r="F313" s="578">
        <v>62.755168378624347</v>
      </c>
      <c r="G313" s="578">
        <v>64.83474976392823</v>
      </c>
      <c r="H313" s="578">
        <v>79.999999999999986</v>
      </c>
      <c r="I313" s="578">
        <v>55.217748562037791</v>
      </c>
      <c r="J313" s="578">
        <v>71.908362989323848</v>
      </c>
      <c r="K313" s="578">
        <v>64.065040650406488</v>
      </c>
      <c r="L313" s="578">
        <v>69.224422442244247</v>
      </c>
      <c r="M313" s="578">
        <v>47.857636489288168</v>
      </c>
      <c r="N313" s="578">
        <v>75.795644891122279</v>
      </c>
    </row>
    <row r="314" spans="1:14" ht="14">
      <c r="A314" s="239"/>
      <c r="B314" s="576" t="s">
        <v>106</v>
      </c>
      <c r="C314" s="580">
        <v>50</v>
      </c>
      <c r="D314" s="580">
        <v>95.055744062045562</v>
      </c>
      <c r="E314" s="580">
        <v>61.312764670296431</v>
      </c>
      <c r="F314" s="580">
        <v>65.393947133188604</v>
      </c>
      <c r="G314" s="580">
        <v>62.674418604651159</v>
      </c>
      <c r="H314" s="580">
        <v>54.802710243124757</v>
      </c>
      <c r="I314" s="580">
        <v>73.469387755102048</v>
      </c>
      <c r="J314" s="580">
        <v>46.330071174377217</v>
      </c>
      <c r="K314" s="580">
        <v>87.864077669902898</v>
      </c>
      <c r="L314" s="580">
        <v>67.681159420289873</v>
      </c>
      <c r="M314" s="580">
        <v>75.307125307125318</v>
      </c>
      <c r="N314" s="580">
        <v>84.174458819008578</v>
      </c>
    </row>
    <row r="315" spans="1:14" ht="14">
      <c r="A315" s="239"/>
      <c r="B315" s="576" t="s">
        <v>107</v>
      </c>
      <c r="C315" s="580">
        <v>50</v>
      </c>
      <c r="D315" s="580">
        <v>53.384747215081411</v>
      </c>
      <c r="E315" s="580">
        <v>61.930178880553953</v>
      </c>
      <c r="F315" s="580">
        <v>45.204203804709337</v>
      </c>
      <c r="G315" s="580">
        <v>43.028180485421068</v>
      </c>
      <c r="H315" s="580">
        <v>56.566666666666663</v>
      </c>
      <c r="I315" s="580">
        <v>77.815315315315317</v>
      </c>
      <c r="J315" s="580">
        <v>52.024021352313163</v>
      </c>
      <c r="K315" s="580">
        <v>64.661016949152526</v>
      </c>
      <c r="L315" s="580">
        <v>62.510099649878782</v>
      </c>
      <c r="M315" s="580">
        <v>62.877939529675253</v>
      </c>
      <c r="N315" s="580">
        <v>71.90494938669471</v>
      </c>
    </row>
    <row r="316" spans="1:14" ht="14">
      <c r="A316" s="239"/>
      <c r="B316" s="576" t="s">
        <v>108</v>
      </c>
      <c r="C316" s="580">
        <v>50</v>
      </c>
      <c r="D316" s="580">
        <v>54.721892260078818</v>
      </c>
      <c r="E316" s="580">
        <v>58.641291313934907</v>
      </c>
      <c r="F316" s="580">
        <v>59.110254745764053</v>
      </c>
      <c r="G316" s="580">
        <v>51.489649223647312</v>
      </c>
      <c r="H316" s="580">
        <v>80.249151771112466</v>
      </c>
      <c r="I316" s="580">
        <v>80.720959524269233</v>
      </c>
      <c r="J316" s="580">
        <v>79.138444457478542</v>
      </c>
      <c r="K316" s="580">
        <v>66.063577932569245</v>
      </c>
      <c r="L316" s="580">
        <v>68.805597561131648</v>
      </c>
      <c r="M316" s="580">
        <v>50</v>
      </c>
      <c r="N316" s="580">
        <v>63.006171596491903</v>
      </c>
    </row>
    <row r="317" spans="1:14" ht="14">
      <c r="A317" s="239"/>
      <c r="B317" s="576" t="s">
        <v>109</v>
      </c>
      <c r="C317" s="580">
        <v>50</v>
      </c>
      <c r="D317" s="580">
        <v>74.581628858311646</v>
      </c>
      <c r="E317" s="580">
        <v>60.411418975650712</v>
      </c>
      <c r="F317" s="580">
        <v>50.152691182084233</v>
      </c>
      <c r="G317" s="580">
        <v>52.059616536848409</v>
      </c>
      <c r="H317" s="580">
        <v>92.53308128544424</v>
      </c>
      <c r="I317" s="580">
        <v>78.415915915915903</v>
      </c>
      <c r="J317" s="580">
        <v>68.171708185053376</v>
      </c>
      <c r="K317" s="580">
        <v>60.862354892205623</v>
      </c>
      <c r="L317" s="580">
        <v>67.708609271523144</v>
      </c>
      <c r="M317" s="580">
        <v>58.001658374792683</v>
      </c>
      <c r="N317" s="580">
        <v>50.127864874195552</v>
      </c>
    </row>
    <row r="318" spans="1:14" ht="14">
      <c r="A318" s="239"/>
      <c r="B318" s="576" t="s">
        <v>110</v>
      </c>
      <c r="C318" s="580">
        <v>50</v>
      </c>
      <c r="D318" s="580">
        <v>93.307443365695789</v>
      </c>
      <c r="E318" s="580">
        <v>55.345080763582963</v>
      </c>
      <c r="F318" s="580">
        <v>53.815822945815299</v>
      </c>
      <c r="G318" s="580">
        <v>66.61379857256145</v>
      </c>
      <c r="H318" s="580">
        <v>54.292527821939593</v>
      </c>
      <c r="I318" s="580">
        <v>79.46165191740414</v>
      </c>
      <c r="J318" s="580">
        <v>53.314056939501768</v>
      </c>
      <c r="K318" s="580">
        <v>52.977412731006147</v>
      </c>
      <c r="L318" s="580">
        <v>84.694555112881829</v>
      </c>
      <c r="M318" s="580">
        <v>49.455040871934592</v>
      </c>
      <c r="N318" s="580">
        <v>68.967889715529353</v>
      </c>
    </row>
    <row r="319" spans="1:14" ht="14">
      <c r="A319" s="239"/>
      <c r="B319" s="576" t="s">
        <v>117</v>
      </c>
      <c r="C319" s="580">
        <v>50</v>
      </c>
      <c r="D319" s="580">
        <v>64.27041330645163</v>
      </c>
      <c r="E319" s="580">
        <v>61.232920241499841</v>
      </c>
      <c r="F319" s="580">
        <v>75.691814739295083</v>
      </c>
      <c r="G319" s="580">
        <v>53.047313552526063</v>
      </c>
      <c r="H319" s="580">
        <v>47.611408199643492</v>
      </c>
      <c r="I319" s="580">
        <v>72.375886524822704</v>
      </c>
      <c r="J319" s="580">
        <v>57.835276967930028</v>
      </c>
      <c r="K319" s="580">
        <v>52.405857740585773</v>
      </c>
      <c r="L319" s="580">
        <v>86.145695364238378</v>
      </c>
      <c r="M319" s="580">
        <v>69.762845849802375</v>
      </c>
      <c r="N319" s="580">
        <v>68.107935219410962</v>
      </c>
    </row>
    <row r="320" spans="1:14" ht="14">
      <c r="A320" s="239"/>
      <c r="B320" s="576" t="s">
        <v>112</v>
      </c>
      <c r="C320" s="580">
        <v>50</v>
      </c>
      <c r="D320" s="580">
        <v>93.283483554592593</v>
      </c>
      <c r="E320" s="580">
        <v>59.28142816111648</v>
      </c>
      <c r="F320" s="580">
        <v>73.235180173557424</v>
      </c>
      <c r="G320" s="580">
        <v>65.964979203280976</v>
      </c>
      <c r="H320" s="580">
        <v>58.723655147873878</v>
      </c>
      <c r="I320" s="580">
        <v>76.180215027969879</v>
      </c>
      <c r="J320" s="580">
        <v>71.96614608762934</v>
      </c>
      <c r="K320" s="580">
        <v>54.057772286861173</v>
      </c>
      <c r="L320" s="580">
        <v>92.716918583374934</v>
      </c>
      <c r="M320" s="580">
        <v>62.348158922556948</v>
      </c>
      <c r="N320" s="580">
        <v>72.409923409167178</v>
      </c>
    </row>
    <row r="321" spans="1:14" ht="14">
      <c r="A321" s="239"/>
      <c r="B321" s="576" t="s">
        <v>113</v>
      </c>
      <c r="C321" s="580">
        <v>50</v>
      </c>
      <c r="D321" s="580">
        <v>82.576726342710998</v>
      </c>
      <c r="E321" s="580">
        <v>60.577986725663713</v>
      </c>
      <c r="F321" s="580">
        <v>57.799013563501852</v>
      </c>
      <c r="G321" s="580">
        <v>36.689814814814802</v>
      </c>
      <c r="H321" s="580">
        <v>51.187419768934532</v>
      </c>
      <c r="I321" s="580">
        <v>69.287925696594442</v>
      </c>
      <c r="J321" s="580">
        <v>50.444839857651253</v>
      </c>
      <c r="K321" s="580">
        <v>60.276338514680461</v>
      </c>
      <c r="L321" s="580">
        <v>63.75160462130939</v>
      </c>
      <c r="M321" s="580">
        <v>54.055059523809518</v>
      </c>
      <c r="N321" s="580">
        <v>53.004495285106657</v>
      </c>
    </row>
    <row r="322" spans="1:14" ht="14">
      <c r="A322" s="239"/>
      <c r="B322" s="576" t="s">
        <v>114</v>
      </c>
      <c r="C322" s="580">
        <v>50</v>
      </c>
      <c r="D322" s="580">
        <v>74.771704180064319</v>
      </c>
      <c r="E322" s="580">
        <v>47.283346916598752</v>
      </c>
      <c r="F322" s="580">
        <v>66.093607997576498</v>
      </c>
      <c r="G322" s="580">
        <v>61.406067677946332</v>
      </c>
      <c r="H322" s="580">
        <v>78.072625698324018</v>
      </c>
      <c r="I322" s="580">
        <v>40.233485193621881</v>
      </c>
      <c r="J322" s="580">
        <v>52.848948374760987</v>
      </c>
      <c r="K322" s="580">
        <v>53.773584905660378</v>
      </c>
      <c r="L322" s="580">
        <v>71.295536130185653</v>
      </c>
      <c r="M322" s="580">
        <v>67.028023175714907</v>
      </c>
      <c r="N322" s="580">
        <v>58.76840730531984</v>
      </c>
    </row>
    <row r="323" spans="1:14" ht="14">
      <c r="A323" s="239"/>
      <c r="B323" s="576" t="s">
        <v>115</v>
      </c>
      <c r="C323" s="580">
        <v>50</v>
      </c>
      <c r="D323" s="580">
        <v>58.260422027792067</v>
      </c>
      <c r="E323" s="580">
        <v>73.084886128364374</v>
      </c>
      <c r="F323" s="580">
        <v>44.698999013111518</v>
      </c>
      <c r="G323" s="580">
        <v>61.823465310570278</v>
      </c>
      <c r="H323" s="580">
        <v>60.099337748344382</v>
      </c>
      <c r="I323" s="580">
        <v>30.81395348837211</v>
      </c>
      <c r="J323" s="580">
        <v>36.622137404580158</v>
      </c>
      <c r="K323" s="580">
        <v>80.26548672566372</v>
      </c>
      <c r="L323" s="580">
        <v>47.035633538401932</v>
      </c>
      <c r="M323" s="580">
        <v>53.51216093466487</v>
      </c>
      <c r="N323" s="580">
        <v>75.057566009009292</v>
      </c>
    </row>
    <row r="324" spans="1:14" ht="14">
      <c r="A324" s="240"/>
      <c r="B324" s="577" t="s">
        <v>116</v>
      </c>
      <c r="C324" s="582">
        <v>50</v>
      </c>
      <c r="D324" s="582">
        <v>87.672702883970487</v>
      </c>
      <c r="E324" s="582">
        <v>57.19125346473669</v>
      </c>
      <c r="F324" s="582">
        <v>44.75438596491226</v>
      </c>
      <c r="G324" s="582">
        <v>69.889005549722498</v>
      </c>
      <c r="H324" s="582">
        <v>52.044907778668808</v>
      </c>
      <c r="I324" s="582">
        <v>59.921828021647627</v>
      </c>
      <c r="J324" s="582">
        <v>71.030534351145036</v>
      </c>
      <c r="K324" s="582">
        <v>61.411149825783951</v>
      </c>
      <c r="L324" s="582">
        <v>78.39041326244292</v>
      </c>
      <c r="M324" s="582">
        <v>60.040983606557383</v>
      </c>
      <c r="N324" s="582">
        <v>71.525884647988519</v>
      </c>
    </row>
    <row r="325" spans="1:14" ht="14">
      <c r="A325" s="238">
        <v>2023</v>
      </c>
      <c r="B325" s="572" t="s">
        <v>105</v>
      </c>
      <c r="C325" s="578">
        <v>50</v>
      </c>
      <c r="D325" s="578">
        <v>97.372052182639237</v>
      </c>
      <c r="E325" s="578">
        <v>50.321054410273753</v>
      </c>
      <c r="F325" s="578">
        <v>62.364358856793523</v>
      </c>
      <c r="G325" s="578">
        <v>52.786885245901637</v>
      </c>
      <c r="H325" s="578">
        <v>59.910102739726028</v>
      </c>
      <c r="I325" s="578">
        <v>75.138974675725763</v>
      </c>
      <c r="J325" s="578">
        <v>69.512663085188024</v>
      </c>
      <c r="K325" s="578">
        <v>60.10273972602738</v>
      </c>
      <c r="L325" s="578">
        <v>55.041234515438852</v>
      </c>
      <c r="M325" s="578">
        <v>46.824691629615259</v>
      </c>
      <c r="N325" s="578">
        <v>81.887691046990895</v>
      </c>
    </row>
    <row r="326" spans="1:14" ht="14">
      <c r="A326" s="239"/>
      <c r="B326" s="573" t="s">
        <v>106</v>
      </c>
      <c r="C326" s="580">
        <v>50</v>
      </c>
      <c r="D326" s="580">
        <v>96.511142061281333</v>
      </c>
      <c r="E326" s="580">
        <v>57.017813267813267</v>
      </c>
      <c r="F326" s="580">
        <v>68.702623906705526</v>
      </c>
      <c r="G326" s="580">
        <v>51.452679192762702</v>
      </c>
      <c r="H326" s="580">
        <v>94.320798158096693</v>
      </c>
      <c r="I326" s="580">
        <v>69.592088998763899</v>
      </c>
      <c r="J326" s="580">
        <v>53.415195702225638</v>
      </c>
      <c r="K326" s="580">
        <v>63.020833333333307</v>
      </c>
      <c r="L326" s="580">
        <v>70.490917559148613</v>
      </c>
      <c r="M326" s="580">
        <v>48.392233982892499</v>
      </c>
      <c r="N326" s="580">
        <v>73.993450438045102</v>
      </c>
    </row>
    <row r="327" spans="1:14" ht="14">
      <c r="A327" s="239"/>
      <c r="B327" s="573" t="s">
        <v>107</v>
      </c>
      <c r="C327" s="580">
        <v>50</v>
      </c>
      <c r="D327" s="580">
        <v>69.951078775715004</v>
      </c>
      <c r="E327" s="580">
        <v>48.982000590144587</v>
      </c>
      <c r="F327" s="580">
        <v>58.706431383987173</v>
      </c>
      <c r="G327" s="580">
        <v>48.958701023649837</v>
      </c>
      <c r="H327" s="580">
        <v>79.960920538428127</v>
      </c>
      <c r="I327" s="580">
        <v>61.570005858230807</v>
      </c>
      <c r="J327" s="580">
        <v>50.863392171910967</v>
      </c>
      <c r="K327" s="580">
        <v>54.200819672131153</v>
      </c>
      <c r="L327" s="580">
        <v>80.976022593755545</v>
      </c>
      <c r="M327" s="580">
        <v>74.84147570128232</v>
      </c>
      <c r="N327" s="580">
        <v>67.638826152924338</v>
      </c>
    </row>
    <row r="328" spans="1:14" ht="14">
      <c r="A328" s="239"/>
      <c r="B328" s="573" t="s">
        <v>108</v>
      </c>
      <c r="C328" s="580">
        <v>50</v>
      </c>
      <c r="D328" s="580">
        <v>63.591217982226873</v>
      </c>
      <c r="E328" s="580">
        <v>57.109004739336477</v>
      </c>
      <c r="F328" s="580">
        <v>53.117370892018783</v>
      </c>
      <c r="G328" s="580">
        <v>59.962936816096011</v>
      </c>
      <c r="H328" s="580">
        <v>79.422301836094931</v>
      </c>
      <c r="I328" s="580">
        <v>65.530527563722586</v>
      </c>
      <c r="J328" s="580">
        <v>50.863392171910967</v>
      </c>
      <c r="K328" s="580">
        <v>57.182835820895498</v>
      </c>
      <c r="L328" s="580">
        <v>60.701685613484898</v>
      </c>
      <c r="M328" s="580">
        <v>67.78582565934137</v>
      </c>
      <c r="N328" s="580">
        <v>49.496482570898742</v>
      </c>
    </row>
    <row r="329" spans="1:14" ht="14">
      <c r="A329" s="239"/>
      <c r="B329" s="573" t="s">
        <v>109</v>
      </c>
      <c r="C329" s="580">
        <v>50</v>
      </c>
      <c r="D329" s="580">
        <v>92.112898971247688</v>
      </c>
      <c r="E329" s="580">
        <v>54.493087557603687</v>
      </c>
      <c r="F329" s="580">
        <v>57.892095357590968</v>
      </c>
      <c r="G329" s="580">
        <v>63.213846424178527</v>
      </c>
      <c r="H329" s="580">
        <v>51.015965166908558</v>
      </c>
      <c r="I329" s="580">
        <v>57.858428314337132</v>
      </c>
      <c r="J329" s="580">
        <v>50.863392171910967</v>
      </c>
      <c r="K329" s="580">
        <v>41.956124314442427</v>
      </c>
      <c r="L329" s="580">
        <v>50.82142432938101</v>
      </c>
      <c r="M329" s="580">
        <v>48.238532723578011</v>
      </c>
      <c r="N329" s="580">
        <v>55.357346924898799</v>
      </c>
    </row>
    <row r="330" spans="1:14" ht="14">
      <c r="A330" s="239"/>
      <c r="B330" s="573" t="s">
        <v>110</v>
      </c>
      <c r="C330" s="580">
        <v>50</v>
      </c>
      <c r="D330" s="580">
        <v>64.553506761084449</v>
      </c>
      <c r="E330" s="580">
        <v>59.800892761618996</v>
      </c>
      <c r="F330" s="580">
        <v>64.165672624210572</v>
      </c>
      <c r="G330" s="580">
        <v>54.817689773011473</v>
      </c>
      <c r="H330" s="580">
        <v>71.30360315111669</v>
      </c>
      <c r="I330" s="580">
        <v>73.365119767300513</v>
      </c>
      <c r="J330" s="580">
        <v>40.430071274216957</v>
      </c>
      <c r="K330" s="580">
        <v>62.685556492610289</v>
      </c>
      <c r="L330" s="580">
        <v>79.357175455447845</v>
      </c>
      <c r="M330" s="580">
        <v>70.765886677185321</v>
      </c>
      <c r="N330" s="580">
        <v>74.279428952754984</v>
      </c>
    </row>
    <row r="331" spans="1:14" ht="14">
      <c r="A331" s="239"/>
      <c r="B331" s="573" t="s">
        <v>117</v>
      </c>
      <c r="C331" s="580">
        <v>50</v>
      </c>
      <c r="D331" s="580">
        <v>86.367730313947504</v>
      </c>
      <c r="E331" s="580">
        <v>59.305993690851743</v>
      </c>
      <c r="F331" s="580">
        <v>44.224782067247808</v>
      </c>
      <c r="G331" s="580">
        <v>56.702898550724647</v>
      </c>
      <c r="H331" s="580">
        <v>54.122766834631243</v>
      </c>
      <c r="I331" s="580">
        <v>73.644179894179885</v>
      </c>
      <c r="J331" s="580">
        <v>50.460475825019188</v>
      </c>
      <c r="K331" s="580">
        <v>60.05692599620491</v>
      </c>
      <c r="L331" s="580">
        <v>53.230597846268097</v>
      </c>
      <c r="M331" s="580">
        <v>71.160525241400222</v>
      </c>
      <c r="N331" s="580">
        <v>80.970693541970562</v>
      </c>
    </row>
    <row r="332" spans="1:14" ht="14">
      <c r="A332" s="239"/>
      <c r="B332" s="576" t="s">
        <v>112</v>
      </c>
      <c r="C332" s="580">
        <v>50</v>
      </c>
      <c r="D332" s="580">
        <v>79.43150684931507</v>
      </c>
      <c r="E332" s="580">
        <v>54.973821989528787</v>
      </c>
      <c r="F332" s="580">
        <v>55.394047947092872</v>
      </c>
      <c r="G332" s="580">
        <v>57.580021104467107</v>
      </c>
      <c r="H332" s="580">
        <v>55.333974050937051</v>
      </c>
      <c r="I332" s="580">
        <v>76.597051597051589</v>
      </c>
      <c r="J332" s="580">
        <v>67.785878741366076</v>
      </c>
      <c r="K332" s="580">
        <v>59.083044982698937</v>
      </c>
      <c r="L332" s="580">
        <v>50.611758056844472</v>
      </c>
      <c r="M332" s="580">
        <v>56.838876695368327</v>
      </c>
      <c r="N332" s="580">
        <v>65.189482779903713</v>
      </c>
    </row>
    <row r="333" spans="1:14" ht="14">
      <c r="A333" s="239"/>
      <c r="B333" s="576" t="s">
        <v>113</v>
      </c>
      <c r="C333" s="580">
        <v>50</v>
      </c>
      <c r="D333" s="580">
        <v>53.732542330985041</v>
      </c>
      <c r="E333" s="580">
        <v>68.293347873500522</v>
      </c>
      <c r="F333" s="580">
        <v>53.725490196078432</v>
      </c>
      <c r="G333" s="580">
        <v>59.247101550495898</v>
      </c>
      <c r="H333" s="580">
        <v>59.231468849477032</v>
      </c>
      <c r="I333" s="580">
        <v>53.382084095063988</v>
      </c>
      <c r="J333" s="580">
        <v>52.417498081350729</v>
      </c>
      <c r="K333" s="580">
        <v>52.460456942003518</v>
      </c>
      <c r="L333" s="580">
        <v>61.122448979591837</v>
      </c>
      <c r="M333" s="580">
        <v>56.754778045047019</v>
      </c>
      <c r="N333" s="580">
        <v>53.487912834490373</v>
      </c>
    </row>
    <row r="334" spans="1:14" ht="14">
      <c r="A334" s="239"/>
      <c r="B334" s="576" t="s">
        <v>114</v>
      </c>
      <c r="C334" s="580">
        <v>50</v>
      </c>
      <c r="D334" s="580">
        <v>52.423892690343493</v>
      </c>
      <c r="E334" s="580">
        <v>47.585662648342947</v>
      </c>
      <c r="F334" s="580">
        <v>69.139770252636794</v>
      </c>
      <c r="G334" s="580">
        <v>60.721846964375459</v>
      </c>
      <c r="H334" s="580">
        <v>51.123776305125197</v>
      </c>
      <c r="I334" s="580">
        <v>55.760737582568197</v>
      </c>
      <c r="J334" s="580">
        <v>49.627864629094667</v>
      </c>
      <c r="K334" s="580">
        <v>56.072823926792218</v>
      </c>
      <c r="L334" s="580">
        <v>78.714986605078423</v>
      </c>
      <c r="M334" s="580">
        <v>59.144338636557897</v>
      </c>
      <c r="N334" s="580">
        <v>62.542302153388142</v>
      </c>
    </row>
    <row r="335" spans="1:14" ht="14">
      <c r="A335" s="239"/>
      <c r="B335" s="576" t="s">
        <v>115</v>
      </c>
      <c r="C335" s="580">
        <v>50</v>
      </c>
      <c r="D335" s="580">
        <v>57.133626260015511</v>
      </c>
      <c r="E335" s="580">
        <v>60.11487811711963</v>
      </c>
      <c r="F335" s="580">
        <v>67.916088230757367</v>
      </c>
      <c r="G335" s="580">
        <v>70.951250684681398</v>
      </c>
      <c r="H335" s="580">
        <v>56.520824568784192</v>
      </c>
      <c r="I335" s="580">
        <v>67.652495378927924</v>
      </c>
      <c r="J335" s="580">
        <v>50.594781273983124</v>
      </c>
      <c r="K335" s="580">
        <v>54.655493482309133</v>
      </c>
      <c r="L335" s="580">
        <v>59.744945907303773</v>
      </c>
      <c r="M335" s="580">
        <v>54.179808539178246</v>
      </c>
      <c r="N335" s="580">
        <v>67.284050378078689</v>
      </c>
    </row>
    <row r="336" spans="1:14" ht="14">
      <c r="A336" s="240"/>
      <c r="B336" s="577" t="s">
        <v>116</v>
      </c>
      <c r="C336" s="582">
        <v>50</v>
      </c>
      <c r="D336" s="582">
        <v>51.169395255596392</v>
      </c>
      <c r="E336" s="582">
        <v>60.495216657287571</v>
      </c>
      <c r="F336" s="582">
        <v>59.305654974946307</v>
      </c>
      <c r="G336" s="582">
        <v>64.995187680461981</v>
      </c>
      <c r="H336" s="582">
        <v>74.810690423162583</v>
      </c>
      <c r="I336" s="582">
        <v>82.932098765432102</v>
      </c>
      <c r="J336" s="582">
        <v>53.679318357862122</v>
      </c>
      <c r="K336" s="582">
        <v>57.786116322701687</v>
      </c>
      <c r="L336" s="582">
        <v>46.593339443935228</v>
      </c>
      <c r="M336" s="582">
        <v>64.409334637304838</v>
      </c>
      <c r="N336" s="582">
        <v>61.164374638792466</v>
      </c>
    </row>
    <row r="337" spans="1:14" ht="14">
      <c r="A337" s="238">
        <v>2024</v>
      </c>
      <c r="B337" s="575" t="s">
        <v>105</v>
      </c>
      <c r="C337" s="578">
        <v>50</v>
      </c>
      <c r="D337" s="578">
        <v>55.725144787644787</v>
      </c>
      <c r="E337" s="578">
        <v>50.844827586206897</v>
      </c>
      <c r="F337" s="578">
        <v>70.613468092607832</v>
      </c>
      <c r="G337" s="578">
        <v>56.749897105227063</v>
      </c>
      <c r="H337" s="578">
        <v>84.020852221214867</v>
      </c>
      <c r="I337" s="578">
        <v>68.800931315483126</v>
      </c>
      <c r="J337" s="578">
        <v>52.633573323228489</v>
      </c>
      <c r="K337" s="578">
        <v>78.977272727272734</v>
      </c>
      <c r="L337" s="578">
        <v>73.668821175746359</v>
      </c>
      <c r="M337" s="578">
        <v>76.203482417207255</v>
      </c>
      <c r="N337" s="578">
        <v>67.792281498297399</v>
      </c>
    </row>
    <row r="338" spans="1:14" ht="14">
      <c r="A338" s="239"/>
      <c r="B338" s="576" t="s">
        <v>106</v>
      </c>
      <c r="C338" s="580">
        <v>50</v>
      </c>
      <c r="D338" s="580">
        <v>54.671618451915563</v>
      </c>
      <c r="E338" s="580">
        <v>54.258568035290118</v>
      </c>
      <c r="F338" s="580">
        <v>70.508713480266536</v>
      </c>
      <c r="G338" s="580">
        <v>60.389386629910412</v>
      </c>
      <c r="H338" s="580">
        <v>51.163342830009498</v>
      </c>
      <c r="I338" s="580">
        <v>52.725118483412317</v>
      </c>
      <c r="J338" s="580">
        <v>68.567639257294445</v>
      </c>
      <c r="K338" s="580">
        <v>68.28478964401296</v>
      </c>
      <c r="L338" s="580">
        <v>61.435185185185198</v>
      </c>
      <c r="M338" s="580">
        <v>82.070386810399498</v>
      </c>
      <c r="N338" s="580">
        <v>74.87799341731926</v>
      </c>
    </row>
    <row r="339" spans="1:14" ht="14">
      <c r="A339" s="239"/>
      <c r="B339" s="576" t="s">
        <v>107</v>
      </c>
      <c r="C339" s="580">
        <v>50</v>
      </c>
      <c r="D339" s="580">
        <v>56.467600049560147</v>
      </c>
      <c r="E339" s="580">
        <v>49.772874756651518</v>
      </c>
      <c r="F339" s="580">
        <v>67.664243053752287</v>
      </c>
      <c r="G339" s="580">
        <v>38.320094145336903</v>
      </c>
      <c r="H339" s="580">
        <v>82.77909738717338</v>
      </c>
      <c r="I339" s="580">
        <v>58.924485125858112</v>
      </c>
      <c r="J339" s="580">
        <v>67.790829859795394</v>
      </c>
      <c r="K339" s="580">
        <v>64.354838709677438</v>
      </c>
      <c r="L339" s="580">
        <v>71.426504629629619</v>
      </c>
      <c r="M339" s="580">
        <v>78.69104579630897</v>
      </c>
      <c r="N339" s="580">
        <v>74.423424380911911</v>
      </c>
    </row>
    <row r="340" spans="1:14" ht="14">
      <c r="A340" s="239"/>
      <c r="B340" s="576" t="s">
        <v>108</v>
      </c>
      <c r="C340" s="580">
        <v>50</v>
      </c>
      <c r="D340" s="580">
        <v>55.778833272439407</v>
      </c>
      <c r="E340" s="580">
        <v>55.560081466395097</v>
      </c>
      <c r="F340" s="580">
        <v>58.077170418006432</v>
      </c>
      <c r="G340" s="580">
        <v>61.248945147679329</v>
      </c>
      <c r="H340" s="580">
        <v>52.646544181977262</v>
      </c>
      <c r="I340" s="580">
        <v>52.421307506053267</v>
      </c>
      <c r="J340" s="580">
        <v>59.773539928486286</v>
      </c>
      <c r="K340" s="580">
        <v>70.032051282051299</v>
      </c>
      <c r="L340" s="580">
        <v>72.157964309319226</v>
      </c>
      <c r="M340" s="580">
        <v>76.680313886045724</v>
      </c>
      <c r="N340" s="580">
        <v>70.719713902548065</v>
      </c>
    </row>
    <row r="341" spans="1:14" ht="14">
      <c r="A341" s="239"/>
      <c r="B341" s="576" t="s">
        <v>109</v>
      </c>
      <c r="C341" s="580">
        <v>50</v>
      </c>
      <c r="D341" s="580">
        <v>52.962113899613897</v>
      </c>
      <c r="E341" s="580">
        <v>56.258741258741253</v>
      </c>
      <c r="F341" s="580">
        <v>49.966891802410267</v>
      </c>
      <c r="G341" s="580">
        <v>53.006644518272417</v>
      </c>
      <c r="H341" s="580">
        <v>50</v>
      </c>
      <c r="I341" s="580">
        <v>50.714285714285722</v>
      </c>
      <c r="J341" s="580">
        <v>67.790829859795394</v>
      </c>
      <c r="K341" s="580">
        <v>71.540880503144663</v>
      </c>
      <c r="L341" s="580">
        <v>75.722047469259365</v>
      </c>
      <c r="M341" s="580">
        <v>53.322981366459622</v>
      </c>
      <c r="N341" s="580">
        <v>81.4035840755446</v>
      </c>
    </row>
    <row r="342" spans="1:14" ht="14">
      <c r="A342" s="239"/>
      <c r="B342" s="576" t="s">
        <v>110</v>
      </c>
      <c r="C342" s="580">
        <v>50</v>
      </c>
      <c r="D342" s="580">
        <v>58.122059592263447</v>
      </c>
      <c r="E342" s="580">
        <v>59.86799742433999</v>
      </c>
      <c r="F342" s="580">
        <v>72.838825313663307</v>
      </c>
      <c r="G342" s="580">
        <v>57.077232271030717</v>
      </c>
      <c r="H342" s="580">
        <v>86.39545056867891</v>
      </c>
      <c r="I342" s="580">
        <v>59.40170940170939</v>
      </c>
      <c r="J342" s="580">
        <v>65.517241379310363</v>
      </c>
      <c r="K342" s="580">
        <v>70.123839009287934</v>
      </c>
      <c r="L342" s="580">
        <v>75.393287886733091</v>
      </c>
      <c r="M342" s="580">
        <v>54.970436067997042</v>
      </c>
      <c r="N342" s="580">
        <v>81.670235546038555</v>
      </c>
    </row>
    <row r="343" spans="1:14" ht="14">
      <c r="A343" s="239"/>
      <c r="B343" s="576" t="s">
        <v>117</v>
      </c>
      <c r="C343" s="580">
        <v>50</v>
      </c>
      <c r="D343" s="580">
        <v>51.652992277992283</v>
      </c>
      <c r="E343" s="580">
        <v>62.706896551724142</v>
      </c>
      <c r="F343" s="580">
        <v>53.779366700715023</v>
      </c>
      <c r="G343" s="580">
        <v>60.051369863013697</v>
      </c>
      <c r="H343" s="580">
        <v>80.183727034120722</v>
      </c>
      <c r="I343" s="580">
        <v>57.843137254901947</v>
      </c>
      <c r="J343" s="580">
        <v>66.57292085174771</v>
      </c>
      <c r="K343" s="580">
        <v>73.734177215189888</v>
      </c>
      <c r="L343" s="580">
        <v>65.768162887552037</v>
      </c>
      <c r="M343" s="580">
        <v>51.810035842293907</v>
      </c>
      <c r="N343" s="580">
        <v>79.075121694513882</v>
      </c>
    </row>
    <row r="344" spans="1:14" ht="14">
      <c r="A344" s="239"/>
      <c r="B344" s="576" t="s">
        <v>112</v>
      </c>
      <c r="C344" s="580">
        <v>50</v>
      </c>
      <c r="D344" s="580">
        <v>65.929878048780509</v>
      </c>
      <c r="E344" s="580">
        <v>60.886715052066897</v>
      </c>
      <c r="F344" s="580">
        <v>41.904263667277</v>
      </c>
      <c r="G344" s="580">
        <v>50.990026400704018</v>
      </c>
      <c r="H344" s="580">
        <v>82.608695652173907</v>
      </c>
      <c r="I344" s="580">
        <v>55.868680999418928</v>
      </c>
      <c r="J344" s="580">
        <v>50</v>
      </c>
      <c r="K344" s="580">
        <v>75.304878048780495</v>
      </c>
      <c r="L344" s="580">
        <v>62.185461323392353</v>
      </c>
      <c r="M344" s="580">
        <v>51.743589743589737</v>
      </c>
      <c r="N344" s="580">
        <v>69.32542790021256</v>
      </c>
    </row>
    <row r="345" spans="1:14" ht="14">
      <c r="A345" s="239"/>
      <c r="B345" s="576" t="s">
        <v>113</v>
      </c>
      <c r="C345" s="580">
        <v>50</v>
      </c>
      <c r="D345" s="580">
        <v>54.365942028985508</v>
      </c>
      <c r="E345" s="580">
        <v>58.007566204287507</v>
      </c>
      <c r="F345" s="580">
        <v>54.310213993018657</v>
      </c>
      <c r="G345" s="580">
        <v>53.796529734539533</v>
      </c>
      <c r="H345" s="580">
        <v>50.371828521434821</v>
      </c>
      <c r="I345" s="580">
        <v>65.367103016505411</v>
      </c>
      <c r="J345" s="580">
        <v>66.070711128967474</v>
      </c>
      <c r="K345" s="580">
        <v>67.27019498607244</v>
      </c>
      <c r="L345" s="580">
        <v>70.587487283825041</v>
      </c>
      <c r="M345" s="580">
        <v>50.294391075302137</v>
      </c>
      <c r="N345" s="580">
        <v>74.392701220194795</v>
      </c>
    </row>
    <row r="346" spans="1:14" ht="14">
      <c r="A346" s="239"/>
      <c r="B346" s="576" t="s">
        <v>114</v>
      </c>
      <c r="C346" s="580">
        <v>50</v>
      </c>
      <c r="D346" s="580">
        <v>51.864140926640928</v>
      </c>
      <c r="E346" s="580">
        <v>56.618962432915922</v>
      </c>
      <c r="F346" s="580">
        <v>58.354966525481629</v>
      </c>
      <c r="G346" s="580">
        <v>69.861674936099831</v>
      </c>
      <c r="H346" s="580">
        <v>50.924124513618679</v>
      </c>
      <c r="I346" s="580">
        <v>57.104952830188687</v>
      </c>
      <c r="J346" s="580">
        <v>50</v>
      </c>
      <c r="K346" s="580">
        <v>68.156424581005595</v>
      </c>
      <c r="L346" s="580">
        <v>66.356316054353286</v>
      </c>
      <c r="M346" s="580">
        <v>51.538222498446238</v>
      </c>
      <c r="N346" s="580">
        <v>59.37461376838462</v>
      </c>
    </row>
    <row r="347" spans="1:14" ht="14">
      <c r="A347" s="239"/>
      <c r="B347" s="576" t="s">
        <v>115</v>
      </c>
      <c r="C347" s="580">
        <v>50</v>
      </c>
      <c r="D347" s="580">
        <v>78.287886100386075</v>
      </c>
      <c r="E347" s="580">
        <v>59.228466910542068</v>
      </c>
      <c r="F347" s="580">
        <v>68.858131487889281</v>
      </c>
      <c r="G347" s="580">
        <v>70.52956371986221</v>
      </c>
      <c r="H347" s="580">
        <v>80.555555555555543</v>
      </c>
      <c r="I347" s="580">
        <v>51.588702559576348</v>
      </c>
      <c r="J347" s="580">
        <v>66.905737704918039</v>
      </c>
      <c r="K347" s="580">
        <v>70.298507462686572</v>
      </c>
      <c r="L347" s="580">
        <v>66.247882552230379</v>
      </c>
      <c r="M347" s="580">
        <v>53.078817733990149</v>
      </c>
      <c r="N347" s="580">
        <v>68.01454221694614</v>
      </c>
    </row>
    <row r="348" spans="1:14" ht="14">
      <c r="A348" s="240"/>
      <c r="B348" s="577" t="s">
        <v>116</v>
      </c>
      <c r="C348" s="582">
        <v>50</v>
      </c>
      <c r="D348" s="582">
        <v>54.703527645734297</v>
      </c>
      <c r="E348" s="582">
        <v>61.915810407689747</v>
      </c>
      <c r="F348" s="582">
        <v>68.207979071288435</v>
      </c>
      <c r="G348" s="582">
        <v>62.885382662314107</v>
      </c>
      <c r="H348" s="582">
        <v>89.54280155642023</v>
      </c>
      <c r="I348" s="582">
        <v>51.055900621118013</v>
      </c>
      <c r="J348" s="582">
        <v>50</v>
      </c>
      <c r="K348" s="582">
        <v>73.843416370106766</v>
      </c>
      <c r="L348" s="582">
        <v>60.038517091959562</v>
      </c>
      <c r="M348" s="582">
        <v>50.321672698029758</v>
      </c>
      <c r="N348" s="582">
        <v>55.141606904096257</v>
      </c>
    </row>
    <row r="349" spans="1:14" ht="14">
      <c r="A349" s="238">
        <v>2025</v>
      </c>
      <c r="B349" s="575" t="s">
        <v>105</v>
      </c>
      <c r="C349" s="578">
        <v>50</v>
      </c>
      <c r="D349" s="578">
        <v>57.265503050943657</v>
      </c>
      <c r="E349" s="578">
        <v>55.365526492287053</v>
      </c>
      <c r="F349" s="578">
        <v>67.394870265433923</v>
      </c>
      <c r="G349" s="578">
        <v>55.977620730270907</v>
      </c>
      <c r="H349" s="578">
        <v>50.200267022696927</v>
      </c>
      <c r="I349" s="578">
        <v>50.792507204610949</v>
      </c>
      <c r="J349" s="578">
        <v>50</v>
      </c>
      <c r="K349" s="578">
        <v>53.703703703703702</v>
      </c>
      <c r="L349" s="578">
        <v>71.336262600155095</v>
      </c>
      <c r="M349" s="578">
        <v>50.662944870900212</v>
      </c>
      <c r="N349" s="578">
        <v>72.717221644120727</v>
      </c>
    </row>
    <row r="350" spans="1:14" ht="14">
      <c r="A350" s="239"/>
      <c r="B350" s="576" t="s">
        <v>106</v>
      </c>
      <c r="C350" s="580">
        <v>50</v>
      </c>
      <c r="D350" s="580">
        <v>55.771915131211607</v>
      </c>
      <c r="E350" s="580">
        <v>55.645161290322577</v>
      </c>
      <c r="F350" s="580">
        <v>48.978581156369941</v>
      </c>
      <c r="G350" s="580">
        <v>67.064652371669908</v>
      </c>
      <c r="H350" s="580">
        <v>50</v>
      </c>
      <c r="I350" s="580">
        <v>62.044374009508722</v>
      </c>
      <c r="J350" s="580">
        <v>50</v>
      </c>
      <c r="K350" s="580">
        <v>51.488095238095241</v>
      </c>
      <c r="L350" s="580">
        <v>57.260891337005511</v>
      </c>
      <c r="M350" s="580">
        <v>55.259467040673208</v>
      </c>
      <c r="N350" s="580">
        <v>81.780270348001153</v>
      </c>
    </row>
    <row r="351" spans="1:14" ht="14">
      <c r="A351" s="239"/>
      <c r="B351" s="576" t="s">
        <v>107</v>
      </c>
      <c r="C351" s="580">
        <v>50</v>
      </c>
      <c r="D351" s="580">
        <v>50.432929266018377</v>
      </c>
      <c r="E351" s="580">
        <v>53.629737609329453</v>
      </c>
      <c r="F351" s="580">
        <v>53.338974225462117</v>
      </c>
      <c r="G351" s="580">
        <v>43.763566538654203</v>
      </c>
      <c r="H351" s="580">
        <v>80.529595015576319</v>
      </c>
      <c r="I351" s="580">
        <v>50.954063604240282</v>
      </c>
      <c r="J351" s="580">
        <v>50</v>
      </c>
      <c r="K351" s="580">
        <v>71.276595744680861</v>
      </c>
      <c r="L351" s="580">
        <v>78.530625198349711</v>
      </c>
      <c r="M351" s="580">
        <v>56.62435541451805</v>
      </c>
      <c r="N351" s="580">
        <v>69.814203642586477</v>
      </c>
    </row>
    <row r="352" spans="1:14" ht="14">
      <c r="A352" s="239"/>
      <c r="B352" s="576" t="s">
        <v>108</v>
      </c>
      <c r="C352" s="580">
        <v>50</v>
      </c>
      <c r="D352" s="580">
        <v>51.66836474783495</v>
      </c>
      <c r="E352" s="580">
        <v>64.015045973808881</v>
      </c>
      <c r="F352" s="580">
        <v>52.269963518443447</v>
      </c>
      <c r="G352" s="580">
        <v>58.938092417061611</v>
      </c>
      <c r="H352" s="580">
        <v>22.75305410122164</v>
      </c>
      <c r="I352" s="580">
        <v>57.773109243697483</v>
      </c>
      <c r="J352" s="580">
        <v>52.295632698768188</v>
      </c>
      <c r="K352" s="580">
        <v>75.766871165644176</v>
      </c>
      <c r="L352" s="580">
        <v>69.561489465948057</v>
      </c>
      <c r="M352" s="580">
        <v>47.319252640129967</v>
      </c>
      <c r="N352" s="580">
        <v>57.290547798066598</v>
      </c>
    </row>
    <row r="353" spans="1:14" ht="14">
      <c r="A353" s="239"/>
      <c r="B353" s="576" t="s">
        <v>109</v>
      </c>
      <c r="C353" s="580">
        <v>50</v>
      </c>
      <c r="D353" s="580">
        <v>75.700381428383537</v>
      </c>
      <c r="E353" s="580">
        <v>63.588754134509387</v>
      </c>
      <c r="F353" s="580">
        <v>55.498789997311107</v>
      </c>
      <c r="G353" s="580">
        <v>58.468983721953357</v>
      </c>
      <c r="H353" s="580">
        <v>64.217847733942108</v>
      </c>
      <c r="I353" s="580">
        <v>51.742160278745637</v>
      </c>
      <c r="J353" s="580">
        <v>56.445672191528537</v>
      </c>
      <c r="K353" s="580">
        <v>53.691275167785243</v>
      </c>
      <c r="L353" s="580">
        <v>76.728285641934647</v>
      </c>
      <c r="M353" s="580">
        <v>47.869593285990973</v>
      </c>
      <c r="N353" s="580">
        <v>58.926782258878177</v>
      </c>
    </row>
    <row r="354" spans="1:14" ht="14">
      <c r="A354" s="239"/>
      <c r="B354" s="576" t="s">
        <v>110</v>
      </c>
      <c r="C354" s="584">
        <v>50</v>
      </c>
      <c r="D354" s="584">
        <v>50.420603080108712</v>
      </c>
      <c r="E354" s="594">
        <v>62.201365187713343</v>
      </c>
      <c r="F354" s="594">
        <v>53.862973760932952</v>
      </c>
      <c r="G354" s="594">
        <v>54.256010396361283</v>
      </c>
      <c r="H354" s="594">
        <v>65.896319536331006</v>
      </c>
      <c r="I354" s="594">
        <v>53.167229729729733</v>
      </c>
      <c r="J354" s="594">
        <v>53.950338600451467</v>
      </c>
      <c r="K354" s="594">
        <v>72.468354430379762</v>
      </c>
      <c r="L354" s="594">
        <v>64.317410597755156</v>
      </c>
      <c r="M354" s="594">
        <v>51.362088535754822</v>
      </c>
      <c r="N354" s="594">
        <v>68.599450029178954</v>
      </c>
    </row>
    <row r="355" spans="1:14" ht="14">
      <c r="A355" s="239"/>
      <c r="B355" s="576" t="s">
        <v>117</v>
      </c>
      <c r="C355" s="584">
        <v>50</v>
      </c>
      <c r="D355" s="584">
        <v>75.824634655532364</v>
      </c>
      <c r="E355" s="594">
        <v>57.56425233644859</v>
      </c>
      <c r="F355" s="594">
        <v>53.187337380745888</v>
      </c>
      <c r="G355" s="594">
        <v>56.501892674237368</v>
      </c>
      <c r="H355" s="594">
        <v>89.715645986528131</v>
      </c>
      <c r="I355" s="594">
        <v>51.072961373390562</v>
      </c>
      <c r="J355" s="594">
        <v>51.06263982102908</v>
      </c>
      <c r="K355" s="594">
        <v>74.378881987577643</v>
      </c>
      <c r="L355" s="594">
        <v>66.266310794780551</v>
      </c>
      <c r="M355" s="594">
        <v>50.985595147839277</v>
      </c>
      <c r="N355" s="594">
        <v>66.726956206285578</v>
      </c>
    </row>
    <row r="356" spans="1:14" ht="14">
      <c r="A356" s="239"/>
      <c r="B356" s="576" t="s">
        <v>112</v>
      </c>
      <c r="C356" s="584">
        <v>50</v>
      </c>
      <c r="D356" s="584">
        <v>80.537425357589228</v>
      </c>
      <c r="E356" s="594">
        <v>59.309951525520383</v>
      </c>
      <c r="F356" s="594">
        <v>57.206759443339969</v>
      </c>
      <c r="G356" s="594">
        <v>59.64590964590964</v>
      </c>
      <c r="H356" s="594">
        <v>75.998005603138409</v>
      </c>
      <c r="I356" s="594">
        <v>52.744310575635879</v>
      </c>
      <c r="J356" s="594">
        <v>51.067415730337082</v>
      </c>
      <c r="K356" s="594">
        <v>76.548672566371692</v>
      </c>
      <c r="L356" s="594">
        <v>59.897209985315719</v>
      </c>
      <c r="M356" s="594">
        <v>51.432550736171898</v>
      </c>
      <c r="N356" s="594">
        <v>40.194649677164591</v>
      </c>
    </row>
    <row r="357" spans="1:14" ht="14">
      <c r="A357" s="239"/>
      <c r="B357" s="576" t="s">
        <v>113</v>
      </c>
      <c r="C357" s="584">
        <v>50</v>
      </c>
      <c r="D357" s="584">
        <v>89.33652530779753</v>
      </c>
      <c r="E357" s="594">
        <v>56.802721088435383</v>
      </c>
      <c r="F357" s="594">
        <v>63.719391131700853</v>
      </c>
      <c r="G357" s="594">
        <v>52.902939872950199</v>
      </c>
      <c r="H357" s="594">
        <v>63.09443754141757</v>
      </c>
      <c r="I357" s="594">
        <v>56.299212598425193</v>
      </c>
      <c r="J357" s="594">
        <v>51.677728613569322</v>
      </c>
      <c r="K357" s="594">
        <v>76.923076923076934</v>
      </c>
      <c r="L357" s="594">
        <v>68.711409395973163</v>
      </c>
      <c r="M357" s="594">
        <v>51.45244727417429</v>
      </c>
      <c r="N357" s="594">
        <v>70.275178382126427</v>
      </c>
    </row>
    <row r="358" spans="1:14" ht="14">
      <c r="A358" s="239"/>
      <c r="B358" s="576" t="s">
        <v>114</v>
      </c>
      <c r="C358" s="584">
        <v>50</v>
      </c>
      <c r="D358" s="584">
        <v>92.021043402016659</v>
      </c>
      <c r="E358" s="594">
        <v>59.209735576923073</v>
      </c>
      <c r="F358" s="594">
        <v>41.167124079156459</v>
      </c>
      <c r="G358" s="594">
        <v>58.979631805718768</v>
      </c>
      <c r="H358" s="594">
        <v>76.552343824751432</v>
      </c>
      <c r="I358" s="594">
        <v>59.765051395007333</v>
      </c>
      <c r="J358" s="594">
        <v>51.052826006649433</v>
      </c>
      <c r="K358" s="594">
        <v>60.153846153846153</v>
      </c>
      <c r="L358" s="594">
        <v>54.678522571819428</v>
      </c>
      <c r="M358" s="594">
        <v>52.594728171334431</v>
      </c>
      <c r="N358" s="594">
        <v>50.392541958121157</v>
      </c>
    </row>
    <row r="359" spans="1:14" ht="14">
      <c r="A359" s="239"/>
      <c r="B359" s="576" t="s">
        <v>115</v>
      </c>
      <c r="C359" s="584">
        <v>50</v>
      </c>
      <c r="D359" s="584">
        <v>97.532314923619268</v>
      </c>
      <c r="E359" s="594">
        <v>60.424242424242422</v>
      </c>
      <c r="F359" s="594">
        <v>67.48571428571428</v>
      </c>
      <c r="G359" s="594">
        <v>63.05818673883627</v>
      </c>
      <c r="H359" s="594">
        <v>63.16079295154185</v>
      </c>
      <c r="I359" s="594">
        <v>51.255539143279172</v>
      </c>
      <c r="J359" s="594">
        <v>52.587117212249211</v>
      </c>
      <c r="K359" s="594">
        <v>54.049295774647888</v>
      </c>
      <c r="L359" s="594">
        <v>52.388289676425273</v>
      </c>
      <c r="M359" s="594">
        <v>54.413619167717528</v>
      </c>
      <c r="N359" s="594">
        <v>42.887029288702927</v>
      </c>
    </row>
    <row r="360" spans="1:14" ht="14">
      <c r="A360" s="240"/>
      <c r="B360" s="577" t="s">
        <v>116</v>
      </c>
      <c r="C360" s="586">
        <v>50</v>
      </c>
      <c r="D360" s="586">
        <v>69.541723666210657</v>
      </c>
      <c r="E360" s="595">
        <v>54.87565445026177</v>
      </c>
      <c r="F360" s="595">
        <v>63.546180159635121</v>
      </c>
      <c r="G360" s="595">
        <v>68.052320372693075</v>
      </c>
      <c r="H360" s="595">
        <v>92.619059051767223</v>
      </c>
      <c r="I360" s="595">
        <v>54.169944925255713</v>
      </c>
      <c r="J360" s="595">
        <v>51.497990500548042</v>
      </c>
      <c r="K360" s="595">
        <v>72.555205047318623</v>
      </c>
      <c r="L360" s="595">
        <v>60.778568438677283</v>
      </c>
      <c r="M360" s="595">
        <v>51.755669348939279</v>
      </c>
      <c r="N360" s="595">
        <v>54.108658694993167</v>
      </c>
    </row>
    <row r="361" spans="1:14" ht="14">
      <c r="A361" s="238">
        <v>2026</v>
      </c>
      <c r="B361" s="575" t="s">
        <v>105</v>
      </c>
      <c r="C361" s="684">
        <v>50</v>
      </c>
      <c r="D361" s="684">
        <v>95.852566792558406</v>
      </c>
      <c r="E361" s="686">
        <v>55.761541257724467</v>
      </c>
      <c r="F361" s="686">
        <v>56.798946774496898</v>
      </c>
      <c r="G361" s="686">
        <v>46.736801090979931</v>
      </c>
      <c r="H361" s="686">
        <v>64.768795218622202</v>
      </c>
      <c r="I361" s="686">
        <v>51.47679324894515</v>
      </c>
      <c r="J361" s="686">
        <v>67.068575734740023</v>
      </c>
      <c r="K361" s="686">
        <v>52.798053527980542</v>
      </c>
      <c r="L361" s="686">
        <v>63.467741935483872</v>
      </c>
      <c r="M361" s="686">
        <v>52.87838353030881</v>
      </c>
      <c r="N361" s="686">
        <v>68.255193711398093</v>
      </c>
    </row>
    <row r="362" spans="1:14" ht="14">
      <c r="A362" s="239"/>
      <c r="B362" s="576" t="s">
        <v>106</v>
      </c>
      <c r="C362" s="584">
        <v>50</v>
      </c>
      <c r="D362" s="584">
        <v>94.513618677042814</v>
      </c>
      <c r="E362" s="594">
        <v>58.058952649733463</v>
      </c>
      <c r="F362" s="594">
        <v>74.968220338983059</v>
      </c>
      <c r="G362" s="594">
        <v>52.639036486007797</v>
      </c>
      <c r="H362" s="594">
        <v>84.500628140703512</v>
      </c>
      <c r="I362" s="594">
        <v>52.489331436699857</v>
      </c>
      <c r="J362" s="594">
        <v>50</v>
      </c>
      <c r="K362" s="594">
        <v>74.006622516556291</v>
      </c>
      <c r="L362" s="594">
        <v>62.665232093452197</v>
      </c>
      <c r="M362" s="594">
        <v>62.841694202463202</v>
      </c>
      <c r="N362" s="594">
        <v>57.019395698640977</v>
      </c>
    </row>
    <row r="363" spans="1:14" ht="14">
      <c r="A363" s="240"/>
      <c r="B363" s="577" t="s">
        <v>107</v>
      </c>
      <c r="C363" s="586">
        <v>50</v>
      </c>
      <c r="D363" s="586">
        <v>69.785215443404937</v>
      </c>
      <c r="E363" s="595">
        <v>53.747534516765285</v>
      </c>
      <c r="F363" s="595">
        <v>53.806584362139915</v>
      </c>
      <c r="G363" s="595">
        <v>55.882352941176471</v>
      </c>
      <c r="H363" s="595">
        <v>88.37601078167117</v>
      </c>
      <c r="I363" s="595">
        <v>50.843170320404724</v>
      </c>
      <c r="J363" s="595">
        <v>66.685267857142861</v>
      </c>
      <c r="K363" s="595">
        <v>68.601583113456456</v>
      </c>
      <c r="L363" s="595">
        <v>60.888525483783049</v>
      </c>
      <c r="M363" s="595">
        <v>56.673582295988936</v>
      </c>
      <c r="N363" s="595">
        <v>74.538545059717691</v>
      </c>
    </row>
    <row r="365" spans="1:14" ht="14">
      <c r="A365" s="823" t="s">
        <v>351</v>
      </c>
      <c r="B365" s="823"/>
      <c r="C365" s="823"/>
      <c r="D365" s="823"/>
      <c r="E365" s="823"/>
      <c r="F365" s="823"/>
      <c r="G365" s="823"/>
      <c r="H365" s="823"/>
      <c r="I365" s="823"/>
      <c r="J365" s="823"/>
      <c r="K365" s="823"/>
      <c r="L365" s="823"/>
      <c r="M365" s="823"/>
      <c r="N365" s="823"/>
    </row>
    <row r="366" spans="1:14" ht="20.5" customHeight="1">
      <c r="A366" s="717" t="s">
        <v>98</v>
      </c>
      <c r="B366" s="718"/>
      <c r="C366" s="721" t="s">
        <v>322</v>
      </c>
      <c r="D366" s="824" t="s">
        <v>336</v>
      </c>
      <c r="E366" s="825"/>
      <c r="F366" s="825"/>
      <c r="G366" s="825"/>
      <c r="H366" s="825"/>
      <c r="I366" s="825"/>
      <c r="J366" s="825"/>
      <c r="K366" s="825"/>
      <c r="L366" s="825"/>
      <c r="M366" s="825"/>
      <c r="N366" s="826"/>
    </row>
    <row r="367" spans="1:14" ht="62.5" customHeight="1">
      <c r="A367" s="751"/>
      <c r="B367" s="752"/>
      <c r="C367" s="722"/>
      <c r="D367" s="376" t="s">
        <v>337</v>
      </c>
      <c r="E367" s="376" t="s">
        <v>215</v>
      </c>
      <c r="F367" s="376" t="s">
        <v>338</v>
      </c>
      <c r="G367" s="376" t="s">
        <v>339</v>
      </c>
      <c r="H367" s="376" t="s">
        <v>340</v>
      </c>
      <c r="I367" s="376" t="s">
        <v>341</v>
      </c>
      <c r="J367" s="277" t="s">
        <v>342</v>
      </c>
      <c r="K367" s="277" t="s">
        <v>343</v>
      </c>
      <c r="L367" s="277" t="s">
        <v>344</v>
      </c>
      <c r="M367" s="281" t="s">
        <v>345</v>
      </c>
      <c r="N367" s="281" t="s">
        <v>346</v>
      </c>
    </row>
    <row r="368" spans="1:14" ht="14">
      <c r="A368" s="238">
        <v>2020</v>
      </c>
      <c r="B368" s="572" t="s">
        <v>112</v>
      </c>
      <c r="C368" s="579">
        <v>50</v>
      </c>
      <c r="D368" s="578">
        <v>57.523066004258311</v>
      </c>
      <c r="E368" s="578">
        <v>58.330366678533281</v>
      </c>
      <c r="F368" s="578">
        <v>59.864823815309833</v>
      </c>
      <c r="G368" s="578">
        <v>68.689818468823987</v>
      </c>
      <c r="H368" s="578">
        <v>51.944264419961101</v>
      </c>
      <c r="I368" s="578">
        <v>52.952380952380963</v>
      </c>
      <c r="J368" s="578">
        <v>57.166759620747357</v>
      </c>
      <c r="K368" s="578">
        <v>49.046104928457858</v>
      </c>
      <c r="L368" s="579">
        <v>43.853389555627608</v>
      </c>
      <c r="M368" s="578">
        <v>67.827476038338673</v>
      </c>
      <c r="N368" s="578">
        <v>62.051446945337638</v>
      </c>
    </row>
    <row r="369" spans="1:14" ht="14">
      <c r="A369" s="239"/>
      <c r="B369" s="573" t="s">
        <v>113</v>
      </c>
      <c r="C369" s="581">
        <v>50</v>
      </c>
      <c r="D369" s="580">
        <v>23.50246652572233</v>
      </c>
      <c r="E369" s="580">
        <v>58.427362482369539</v>
      </c>
      <c r="F369" s="580">
        <v>62.445658924357232</v>
      </c>
      <c r="G369" s="580">
        <v>69.250871080139376</v>
      </c>
      <c r="H369" s="580">
        <v>27.161684345869471</v>
      </c>
      <c r="I369" s="580">
        <v>52.895322939866382</v>
      </c>
      <c r="J369" s="580">
        <v>55.840124175397747</v>
      </c>
      <c r="K369" s="580">
        <v>45.031545741324919</v>
      </c>
      <c r="L369" s="581">
        <v>73.622741295724978</v>
      </c>
      <c r="M369" s="580">
        <v>49.405267629566687</v>
      </c>
      <c r="N369" s="580">
        <v>75.838183934807915</v>
      </c>
    </row>
    <row r="370" spans="1:14" ht="14">
      <c r="A370" s="239"/>
      <c r="B370" s="573" t="s">
        <v>114</v>
      </c>
      <c r="C370" s="581">
        <v>50</v>
      </c>
      <c r="D370" s="580">
        <v>59.717514124293778</v>
      </c>
      <c r="E370" s="580">
        <v>50.370828182941906</v>
      </c>
      <c r="F370" s="580">
        <v>55.250690880378983</v>
      </c>
      <c r="G370" s="580">
        <v>62.560178817056403</v>
      </c>
      <c r="H370" s="580">
        <v>17.193799838724139</v>
      </c>
      <c r="I370" s="580">
        <v>56.028368794326219</v>
      </c>
      <c r="J370" s="580">
        <v>56.519208381839363</v>
      </c>
      <c r="K370" s="580">
        <v>50.394321766561511</v>
      </c>
      <c r="L370" s="581">
        <v>66.270676691729321</v>
      </c>
      <c r="M370" s="580">
        <v>56.430868167202568</v>
      </c>
      <c r="N370" s="580">
        <v>53.818953323903862</v>
      </c>
    </row>
    <row r="371" spans="1:14" ht="14">
      <c r="A371" s="239"/>
      <c r="B371" s="573" t="s">
        <v>115</v>
      </c>
      <c r="C371" s="581">
        <v>50</v>
      </c>
      <c r="D371" s="580">
        <v>56.799439863077637</v>
      </c>
      <c r="E371" s="580">
        <v>52.369040612124778</v>
      </c>
      <c r="F371" s="580">
        <v>64.56364992541026</v>
      </c>
      <c r="G371" s="580">
        <v>70.736515983664262</v>
      </c>
      <c r="H371" s="580">
        <v>16.790610160379909</v>
      </c>
      <c r="I371" s="580">
        <v>54.968509447165857</v>
      </c>
      <c r="J371" s="580">
        <v>70.197904540162995</v>
      </c>
      <c r="K371" s="580">
        <v>50.396196513470677</v>
      </c>
      <c r="L371" s="581">
        <v>56.717512466999118</v>
      </c>
      <c r="M371" s="580">
        <v>63.692722371967669</v>
      </c>
      <c r="N371" s="580">
        <v>48.125216988774483</v>
      </c>
    </row>
    <row r="372" spans="1:14" ht="14">
      <c r="A372" s="239"/>
      <c r="B372" s="574" t="s">
        <v>116</v>
      </c>
      <c r="C372" s="583">
        <v>50</v>
      </c>
      <c r="D372" s="582">
        <v>60.59771089444682</v>
      </c>
      <c r="E372" s="582">
        <v>64.855072463768124</v>
      </c>
      <c r="F372" s="582">
        <v>57.872487872487881</v>
      </c>
      <c r="G372" s="582">
        <v>71.656002437538092</v>
      </c>
      <c r="H372" s="582">
        <v>55.772584583187999</v>
      </c>
      <c r="I372" s="582">
        <v>64.392803598200913</v>
      </c>
      <c r="J372" s="582">
        <v>65.289095847885136</v>
      </c>
      <c r="K372" s="582">
        <v>53.507340946166387</v>
      </c>
      <c r="L372" s="583">
        <v>70.645645645645644</v>
      </c>
      <c r="M372" s="582">
        <v>56.605922551252853</v>
      </c>
      <c r="N372" s="582">
        <v>61.058808356977082</v>
      </c>
    </row>
    <row r="373" spans="1:14" ht="14">
      <c r="A373" s="238">
        <v>2021</v>
      </c>
      <c r="B373" s="573" t="s">
        <v>105</v>
      </c>
      <c r="C373" s="581">
        <v>50</v>
      </c>
      <c r="D373" s="580">
        <v>63.962592431491977</v>
      </c>
      <c r="E373" s="580">
        <v>59.973867595818817</v>
      </c>
      <c r="F373" s="580">
        <v>61.83748169838946</v>
      </c>
      <c r="G373" s="580">
        <v>68.52361302154975</v>
      </c>
      <c r="H373" s="580">
        <v>16.755367129713161</v>
      </c>
      <c r="I373" s="580">
        <v>57.894736842105267</v>
      </c>
      <c r="J373" s="580">
        <v>68.461852305181566</v>
      </c>
      <c r="K373" s="580">
        <v>55.136436597110738</v>
      </c>
      <c r="L373" s="581">
        <v>61.421085080147961</v>
      </c>
      <c r="M373" s="578">
        <v>58.708272859216251</v>
      </c>
      <c r="N373" s="578">
        <v>59.185489390828238</v>
      </c>
    </row>
    <row r="374" spans="1:14" ht="14">
      <c r="A374" s="239"/>
      <c r="B374" s="573" t="s">
        <v>106</v>
      </c>
      <c r="C374" s="581">
        <v>50</v>
      </c>
      <c r="D374" s="580">
        <v>50</v>
      </c>
      <c r="E374" s="580">
        <v>57.967422096317293</v>
      </c>
      <c r="F374" s="580">
        <v>70.589529256489243</v>
      </c>
      <c r="G374" s="580">
        <v>70.470902734937269</v>
      </c>
      <c r="H374" s="580">
        <v>59.283862605314319</v>
      </c>
      <c r="I374" s="580">
        <v>57.775590551181111</v>
      </c>
      <c r="J374" s="580">
        <v>72.541819665442688</v>
      </c>
      <c r="K374" s="580">
        <v>54.491017964071851</v>
      </c>
      <c r="L374" s="581">
        <v>62.332155477031797</v>
      </c>
      <c r="M374" s="580">
        <v>40.134099616858236</v>
      </c>
      <c r="N374" s="580">
        <v>66.562346588119766</v>
      </c>
    </row>
    <row r="375" spans="1:14" ht="14">
      <c r="A375" s="239"/>
      <c r="B375" s="573" t="s">
        <v>107</v>
      </c>
      <c r="C375" s="581">
        <v>50</v>
      </c>
      <c r="D375" s="580">
        <v>55.581820954704902</v>
      </c>
      <c r="E375" s="580">
        <v>57.322987390882638</v>
      </c>
      <c r="F375" s="580">
        <v>67.54210676562947</v>
      </c>
      <c r="G375" s="580">
        <v>56.909703743125768</v>
      </c>
      <c r="H375" s="580">
        <v>62.128269437477599</v>
      </c>
      <c r="I375" s="580">
        <v>63.311688311688307</v>
      </c>
      <c r="J375" s="580">
        <v>80.519984478075287</v>
      </c>
      <c r="K375" s="580">
        <v>50.722311396468697</v>
      </c>
      <c r="L375" s="581">
        <v>71.440852819807432</v>
      </c>
      <c r="M375" s="580">
        <v>65.491071428571445</v>
      </c>
      <c r="N375" s="580">
        <v>56.514328998863817</v>
      </c>
    </row>
    <row r="376" spans="1:14" ht="14">
      <c r="A376" s="239"/>
      <c r="B376" s="573" t="s">
        <v>108</v>
      </c>
      <c r="C376" s="581">
        <v>50</v>
      </c>
      <c r="D376" s="580">
        <v>56.983199415631837</v>
      </c>
      <c r="E376" s="580">
        <v>62.585733882030183</v>
      </c>
      <c r="F376" s="580">
        <v>48.118538938662972</v>
      </c>
      <c r="G376" s="580">
        <v>69.056470171711823</v>
      </c>
      <c r="H376" s="580">
        <v>61.78621169916434</v>
      </c>
      <c r="I376" s="580">
        <v>65.627743634767356</v>
      </c>
      <c r="J376" s="580">
        <v>49.198137609932743</v>
      </c>
      <c r="K376" s="580">
        <v>50.742574257425737</v>
      </c>
      <c r="L376" s="581">
        <v>70.909372100216515</v>
      </c>
      <c r="M376" s="580">
        <v>49.634443541835907</v>
      </c>
      <c r="N376" s="580">
        <v>56.398005816368958</v>
      </c>
    </row>
    <row r="377" spans="1:14" ht="14">
      <c r="A377" s="239"/>
      <c r="B377" s="573" t="s">
        <v>109</v>
      </c>
      <c r="C377" s="581">
        <v>50</v>
      </c>
      <c r="D377" s="580">
        <v>54.17498081350729</v>
      </c>
      <c r="E377" s="580">
        <v>58.027444253859343</v>
      </c>
      <c r="F377" s="580">
        <v>49.934314240672599</v>
      </c>
      <c r="G377" s="580">
        <v>67.917429326825314</v>
      </c>
      <c r="H377" s="580">
        <v>87.091757387247299</v>
      </c>
      <c r="I377" s="580">
        <v>71.367061356297114</v>
      </c>
      <c r="J377" s="580">
        <v>51.366789065687477</v>
      </c>
      <c r="K377" s="580">
        <v>57.924836601307213</v>
      </c>
      <c r="L377" s="581">
        <v>74.328358208955251</v>
      </c>
      <c r="M377" s="580">
        <v>50.662251655629142</v>
      </c>
      <c r="N377" s="580">
        <v>51.556965761511208</v>
      </c>
    </row>
    <row r="378" spans="1:14" ht="14">
      <c r="A378" s="239"/>
      <c r="B378" s="573" t="s">
        <v>110</v>
      </c>
      <c r="C378" s="581">
        <v>50</v>
      </c>
      <c r="D378" s="580">
        <v>55.14521598112929</v>
      </c>
      <c r="E378" s="580">
        <v>60.053667262969583</v>
      </c>
      <c r="F378" s="580">
        <v>58.212116932636633</v>
      </c>
      <c r="G378" s="580">
        <v>59.935135135135141</v>
      </c>
      <c r="H378" s="580">
        <v>59.879389854558347</v>
      </c>
      <c r="I378" s="580">
        <v>71.979695431472095</v>
      </c>
      <c r="J378" s="580">
        <v>82.476540187678495</v>
      </c>
      <c r="K378" s="580">
        <v>57.911908646003283</v>
      </c>
      <c r="L378" s="581">
        <v>73.133698861239992</v>
      </c>
      <c r="M378" s="580">
        <v>69.076923076923094</v>
      </c>
      <c r="N378" s="580">
        <v>73.042998897464159</v>
      </c>
    </row>
    <row r="379" spans="1:14" ht="14">
      <c r="A379" s="239"/>
      <c r="B379" s="573" t="s">
        <v>117</v>
      </c>
      <c r="C379" s="581">
        <v>50</v>
      </c>
      <c r="D379" s="580">
        <v>52.882657057809809</v>
      </c>
      <c r="E379" s="580">
        <v>61.455167173252278</v>
      </c>
      <c r="F379" s="580">
        <v>66.671350288042717</v>
      </c>
      <c r="G379" s="580">
        <v>67.800549334460172</v>
      </c>
      <c r="H379" s="580">
        <v>56.412478336221838</v>
      </c>
      <c r="I379" s="580">
        <v>75.607180570221772</v>
      </c>
      <c r="J379" s="580">
        <v>56.833945328437359</v>
      </c>
      <c r="K379" s="580">
        <v>57.73524720893144</v>
      </c>
      <c r="L379" s="581">
        <v>72.056384742951892</v>
      </c>
      <c r="M379" s="580">
        <v>54.373423044575247</v>
      </c>
      <c r="N379" s="580">
        <v>62.180759560672222</v>
      </c>
    </row>
    <row r="380" spans="1:14" ht="14">
      <c r="A380" s="239"/>
      <c r="B380" s="573" t="s">
        <v>112</v>
      </c>
      <c r="C380" s="581">
        <v>50</v>
      </c>
      <c r="D380" s="580">
        <v>61.714174150722357</v>
      </c>
      <c r="E380" s="580">
        <v>50.083090984628157</v>
      </c>
      <c r="F380" s="580">
        <v>54.150910965967682</v>
      </c>
      <c r="G380" s="580">
        <v>45.354777672658479</v>
      </c>
      <c r="H380" s="580">
        <v>60.042735042735082</v>
      </c>
      <c r="I380" s="580">
        <v>62.829989440337933</v>
      </c>
      <c r="J380" s="580">
        <v>51.042324699936827</v>
      </c>
      <c r="K380" s="580">
        <v>57.825370675453073</v>
      </c>
      <c r="L380" s="581">
        <v>56.060606060606062</v>
      </c>
      <c r="M380" s="580">
        <v>50</v>
      </c>
      <c r="N380" s="580">
        <v>56.019375979484252</v>
      </c>
    </row>
    <row r="381" spans="1:14" ht="14">
      <c r="A381" s="239"/>
      <c r="B381" s="573" t="s">
        <v>113</v>
      </c>
      <c r="C381" s="581">
        <v>50</v>
      </c>
      <c r="D381" s="580">
        <v>62.992637505413583</v>
      </c>
      <c r="E381" s="580">
        <v>48.652004256828647</v>
      </c>
      <c r="F381" s="580">
        <v>55.457097736444993</v>
      </c>
      <c r="G381" s="580">
        <v>52.041659778475783</v>
      </c>
      <c r="H381" s="580">
        <v>83.39743589743594</v>
      </c>
      <c r="I381" s="580">
        <v>43.639846743295053</v>
      </c>
      <c r="J381" s="580">
        <v>54.402692091979787</v>
      </c>
      <c r="K381" s="580">
        <v>47.190082644628099</v>
      </c>
      <c r="L381" s="581">
        <v>43.7394247038917</v>
      </c>
      <c r="M381" s="580">
        <v>72.727272727272762</v>
      </c>
      <c r="N381" s="580">
        <v>40.216821122573883</v>
      </c>
    </row>
    <row r="382" spans="1:14" ht="14">
      <c r="A382" s="239"/>
      <c r="B382" s="573" t="s">
        <v>114</v>
      </c>
      <c r="C382" s="581">
        <v>50</v>
      </c>
      <c r="D382" s="580">
        <v>50.13861935126144</v>
      </c>
      <c r="E382" s="580">
        <v>45.38948069241011</v>
      </c>
      <c r="F382" s="580">
        <v>50.095137420718807</v>
      </c>
      <c r="G382" s="580">
        <v>51.430013458950199</v>
      </c>
      <c r="H382" s="580">
        <v>86.463223787167436</v>
      </c>
      <c r="I382" s="580">
        <v>47.720515361744297</v>
      </c>
      <c r="J382" s="580">
        <v>58.386075949367083</v>
      </c>
      <c r="K382" s="580">
        <v>38.010657193605681</v>
      </c>
      <c r="L382" s="581">
        <v>52.149243466299858</v>
      </c>
      <c r="M382" s="580">
        <v>64.36781609195404</v>
      </c>
      <c r="N382" s="580">
        <v>42.730017479739367</v>
      </c>
    </row>
    <row r="383" spans="1:14" ht="14">
      <c r="A383" s="239"/>
      <c r="B383" s="573" t="s">
        <v>115</v>
      </c>
      <c r="C383" s="581">
        <v>50</v>
      </c>
      <c r="D383" s="580">
        <v>49.737808075511268</v>
      </c>
      <c r="E383" s="580">
        <v>53.448861705742438</v>
      </c>
      <c r="F383" s="580">
        <v>47.141140109890102</v>
      </c>
      <c r="G383" s="580">
        <v>51.988959246630941</v>
      </c>
      <c r="H383" s="580">
        <v>62.128325508607183</v>
      </c>
      <c r="I383" s="580">
        <v>49.839537869062902</v>
      </c>
      <c r="J383" s="580">
        <v>51.867088607594937</v>
      </c>
      <c r="K383" s="580">
        <v>69.157088122605316</v>
      </c>
      <c r="L383" s="581">
        <v>66.379310344827587</v>
      </c>
      <c r="M383" s="580">
        <v>50</v>
      </c>
      <c r="N383" s="580">
        <v>43.881381381381367</v>
      </c>
    </row>
    <row r="384" spans="1:14" ht="14">
      <c r="A384" s="240"/>
      <c r="B384" s="574" t="s">
        <v>116</v>
      </c>
      <c r="C384" s="588">
        <v>50</v>
      </c>
      <c r="D384" s="592">
        <v>80.070477682067335</v>
      </c>
      <c r="E384" s="592">
        <v>50.228608752449382</v>
      </c>
      <c r="F384" s="592">
        <v>68.181205339085864</v>
      </c>
      <c r="G384" s="582">
        <v>55.386962106615293</v>
      </c>
      <c r="H384" s="582">
        <v>57.769516728624552</v>
      </c>
      <c r="I384" s="588">
        <v>54.610148514851481</v>
      </c>
      <c r="J384" s="582">
        <v>56.120092378752879</v>
      </c>
      <c r="K384" s="588">
        <v>84.879725085910621</v>
      </c>
      <c r="L384" s="592">
        <v>62.281523096129831</v>
      </c>
      <c r="M384" s="592">
        <v>62.112831858407077</v>
      </c>
      <c r="N384" s="582">
        <v>59.296138643964717</v>
      </c>
    </row>
    <row r="385" spans="1:14" ht="14">
      <c r="A385" s="238">
        <v>2022</v>
      </c>
      <c r="B385" s="572" t="s">
        <v>105</v>
      </c>
      <c r="C385" s="578">
        <v>50</v>
      </c>
      <c r="D385" s="578">
        <v>55.499580184718717</v>
      </c>
      <c r="E385" s="578">
        <v>55.474561142517118</v>
      </c>
      <c r="F385" s="578">
        <v>60.590300351059653</v>
      </c>
      <c r="G385" s="578">
        <v>61.66194523135033</v>
      </c>
      <c r="H385" s="578">
        <v>58.030303030303017</v>
      </c>
      <c r="I385" s="578">
        <v>49.342645850451937</v>
      </c>
      <c r="J385" s="578">
        <v>56.82829181494661</v>
      </c>
      <c r="K385" s="578">
        <v>44.959349593495958</v>
      </c>
      <c r="L385" s="578">
        <v>73.498349834983529</v>
      </c>
      <c r="M385" s="578">
        <v>56.012439530062203</v>
      </c>
      <c r="N385" s="578">
        <v>70.332431387707771</v>
      </c>
    </row>
    <row r="386" spans="1:14" ht="14">
      <c r="A386" s="239"/>
      <c r="B386" s="573" t="s">
        <v>106</v>
      </c>
      <c r="C386" s="580">
        <v>50</v>
      </c>
      <c r="D386" s="580">
        <v>55.738002908385852</v>
      </c>
      <c r="E386" s="580">
        <v>56.140350877192994</v>
      </c>
      <c r="F386" s="580">
        <v>69.084408121568117</v>
      </c>
      <c r="G386" s="580">
        <v>57.034883720930232</v>
      </c>
      <c r="H386" s="580">
        <v>16.480669589477891</v>
      </c>
      <c r="I386" s="580">
        <v>46.151603498542279</v>
      </c>
      <c r="J386" s="580">
        <v>55.894128113878999</v>
      </c>
      <c r="K386" s="580">
        <v>59.223300970873773</v>
      </c>
      <c r="L386" s="580">
        <v>61.264822134387337</v>
      </c>
      <c r="M386" s="580">
        <v>56.101556101556099</v>
      </c>
      <c r="N386" s="580">
        <v>68.400153708210581</v>
      </c>
    </row>
    <row r="387" spans="1:14" ht="14">
      <c r="A387" s="239"/>
      <c r="B387" s="573" t="s">
        <v>107</v>
      </c>
      <c r="C387" s="580">
        <v>50</v>
      </c>
      <c r="D387" s="580">
        <v>58.140531276778063</v>
      </c>
      <c r="E387" s="580">
        <v>57.285054818234279</v>
      </c>
      <c r="F387" s="580">
        <v>71.936942929360114</v>
      </c>
      <c r="G387" s="580">
        <v>52.280501710376292</v>
      </c>
      <c r="H387" s="580">
        <v>60.150000000000013</v>
      </c>
      <c r="I387" s="580">
        <v>42.755255255255257</v>
      </c>
      <c r="J387" s="580">
        <v>50.889679715302492</v>
      </c>
      <c r="K387" s="580">
        <v>50.677966101694913</v>
      </c>
      <c r="L387" s="580">
        <v>70.441691354699714</v>
      </c>
      <c r="M387" s="580">
        <v>59.742441209406493</v>
      </c>
      <c r="N387" s="580">
        <v>59.46960727111157</v>
      </c>
    </row>
    <row r="388" spans="1:14" ht="14">
      <c r="A388" s="239"/>
      <c r="B388" s="573" t="s">
        <v>108</v>
      </c>
      <c r="C388" s="580">
        <v>50</v>
      </c>
      <c r="D388" s="580">
        <v>56.62348520578594</v>
      </c>
      <c r="E388" s="580">
        <v>65.825149293269902</v>
      </c>
      <c r="F388" s="580">
        <v>61.342662708044678</v>
      </c>
      <c r="G388" s="580">
        <v>66.324826679952793</v>
      </c>
      <c r="H388" s="580">
        <v>55.875929520404512</v>
      </c>
      <c r="I388" s="580">
        <v>45.086764635466132</v>
      </c>
      <c r="J388" s="580">
        <v>51.632216353142539</v>
      </c>
      <c r="K388" s="580">
        <v>59.733976039476438</v>
      </c>
      <c r="L388" s="580">
        <v>76.359620282004883</v>
      </c>
      <c r="M388" s="580">
        <v>51.618144322176143</v>
      </c>
      <c r="N388" s="580">
        <v>68.700685775995382</v>
      </c>
    </row>
    <row r="389" spans="1:14" ht="14">
      <c r="A389" s="239"/>
      <c r="B389" s="573" t="s">
        <v>109</v>
      </c>
      <c r="C389" s="580">
        <v>50</v>
      </c>
      <c r="D389" s="580">
        <v>55.888186438576923</v>
      </c>
      <c r="E389" s="580">
        <v>65.966974531206262</v>
      </c>
      <c r="F389" s="580">
        <v>67.941213894897572</v>
      </c>
      <c r="G389" s="580">
        <v>69.21809466746555</v>
      </c>
      <c r="H389" s="580">
        <v>53.071833648393188</v>
      </c>
      <c r="I389" s="580">
        <v>58.933933933933943</v>
      </c>
      <c r="J389" s="580">
        <v>51.846085409252673</v>
      </c>
      <c r="K389" s="580">
        <v>48.424543946931998</v>
      </c>
      <c r="L389" s="580">
        <v>76.463576158940427</v>
      </c>
      <c r="M389" s="580">
        <v>45.398009950248742</v>
      </c>
      <c r="N389" s="580">
        <v>54.482000327064867</v>
      </c>
    </row>
    <row r="390" spans="1:14" ht="14">
      <c r="A390" s="239"/>
      <c r="B390" s="573" t="s">
        <v>110</v>
      </c>
      <c r="C390" s="580">
        <v>50</v>
      </c>
      <c r="D390" s="580">
        <v>56.485436893203882</v>
      </c>
      <c r="E390" s="580">
        <v>65.726872246696033</v>
      </c>
      <c r="F390" s="580">
        <v>70.700839481048078</v>
      </c>
      <c r="G390" s="580">
        <v>57.613005551149882</v>
      </c>
      <c r="H390" s="580">
        <v>51.490461049284583</v>
      </c>
      <c r="I390" s="580">
        <v>56.010324483775797</v>
      </c>
      <c r="J390" s="580">
        <v>59.541814946619212</v>
      </c>
      <c r="K390" s="580">
        <v>51.950718685831617</v>
      </c>
      <c r="L390" s="580">
        <v>70.750332005312089</v>
      </c>
      <c r="M390" s="580">
        <v>57.901907356948229</v>
      </c>
      <c r="N390" s="580">
        <v>75.215574654157379</v>
      </c>
    </row>
    <row r="391" spans="1:14" ht="14">
      <c r="A391" s="239"/>
      <c r="B391" s="573" t="s">
        <v>117</v>
      </c>
      <c r="C391" s="580">
        <v>50</v>
      </c>
      <c r="D391" s="580">
        <v>55.777469758064512</v>
      </c>
      <c r="E391" s="580">
        <v>63.965681601525247</v>
      </c>
      <c r="F391" s="580">
        <v>53.291581706961857</v>
      </c>
      <c r="G391" s="580">
        <v>75.862068965517253</v>
      </c>
      <c r="H391" s="580">
        <v>88.752228163992868</v>
      </c>
      <c r="I391" s="580">
        <v>69.14893617021275</v>
      </c>
      <c r="J391" s="580">
        <v>59.985422740524783</v>
      </c>
      <c r="K391" s="580">
        <v>50.836820083682007</v>
      </c>
      <c r="L391" s="580">
        <v>80.913907284768243</v>
      </c>
      <c r="M391" s="580">
        <v>50</v>
      </c>
      <c r="N391" s="580">
        <v>77.609109201519573</v>
      </c>
    </row>
    <row r="392" spans="1:14" ht="14">
      <c r="A392" s="239"/>
      <c r="B392" s="573" t="s">
        <v>112</v>
      </c>
      <c r="C392" s="580">
        <v>50</v>
      </c>
      <c r="D392" s="580">
        <v>60.998465489138063</v>
      </c>
      <c r="E392" s="580">
        <v>68.953148472891641</v>
      </c>
      <c r="F392" s="580">
        <v>73.139923929021023</v>
      </c>
      <c r="G392" s="580">
        <v>61.119261977438562</v>
      </c>
      <c r="H392" s="580">
        <v>53.339973009490947</v>
      </c>
      <c r="I392" s="580">
        <v>54.450989122534743</v>
      </c>
      <c r="J392" s="580">
        <v>49.264316510391367</v>
      </c>
      <c r="K392" s="580">
        <v>53.347271813948439</v>
      </c>
      <c r="L392" s="580">
        <v>68.832079041224475</v>
      </c>
      <c r="M392" s="580">
        <v>55.976508918517567</v>
      </c>
      <c r="N392" s="580">
        <v>60.070699878287442</v>
      </c>
    </row>
    <row r="393" spans="1:14" ht="14">
      <c r="A393" s="239"/>
      <c r="B393" s="573" t="s">
        <v>113</v>
      </c>
      <c r="C393" s="580">
        <v>50</v>
      </c>
      <c r="D393" s="580">
        <v>51.265984654731447</v>
      </c>
      <c r="E393" s="580">
        <v>60.315265486725657</v>
      </c>
      <c r="F393" s="580">
        <v>50.092478421701607</v>
      </c>
      <c r="G393" s="580">
        <v>57.313368055555557</v>
      </c>
      <c r="H393" s="580">
        <v>50</v>
      </c>
      <c r="I393" s="580">
        <v>74.70588235294116</v>
      </c>
      <c r="J393" s="580">
        <v>49.221530249110323</v>
      </c>
      <c r="K393" s="580">
        <v>47.063903281519892</v>
      </c>
      <c r="L393" s="580">
        <v>58.263799743260613</v>
      </c>
      <c r="M393" s="580">
        <v>51.413690476190467</v>
      </c>
      <c r="N393" s="580">
        <v>52.532793768982323</v>
      </c>
    </row>
    <row r="394" spans="1:14" ht="14">
      <c r="A394" s="239"/>
      <c r="B394" s="573" t="s">
        <v>114</v>
      </c>
      <c r="C394" s="580">
        <v>50</v>
      </c>
      <c r="D394" s="580">
        <v>74.771704180064319</v>
      </c>
      <c r="E394" s="580">
        <v>62.564520510730787</v>
      </c>
      <c r="F394" s="580">
        <v>55.127234171463201</v>
      </c>
      <c r="G394" s="580">
        <v>56.24270711785298</v>
      </c>
      <c r="H394" s="580">
        <v>54.70869912210695</v>
      </c>
      <c r="I394" s="580">
        <v>55.723234624145789</v>
      </c>
      <c r="J394" s="580">
        <v>53.384321223709371</v>
      </c>
      <c r="K394" s="580">
        <v>89.412997903563934</v>
      </c>
      <c r="L394" s="580">
        <v>57.492358990972633</v>
      </c>
      <c r="M394" s="580">
        <v>61.796350398630238</v>
      </c>
      <c r="N394" s="580">
        <v>54.899651638243448</v>
      </c>
    </row>
    <row r="395" spans="1:14" ht="14">
      <c r="A395" s="239"/>
      <c r="B395" s="573" t="s">
        <v>115</v>
      </c>
      <c r="C395" s="580">
        <v>50</v>
      </c>
      <c r="D395" s="580">
        <v>79.342511580030873</v>
      </c>
      <c r="E395" s="580">
        <v>69.9940845903579</v>
      </c>
      <c r="F395" s="580">
        <v>54.060341181446503</v>
      </c>
      <c r="G395" s="580">
        <v>51.280421358517977</v>
      </c>
      <c r="H395" s="580">
        <v>55.049668874172191</v>
      </c>
      <c r="I395" s="580">
        <v>70.893895348837191</v>
      </c>
      <c r="J395" s="580">
        <v>51.81297709923664</v>
      </c>
      <c r="K395" s="580">
        <v>62.743362831858391</v>
      </c>
      <c r="L395" s="580">
        <v>44.433928931148287</v>
      </c>
      <c r="M395" s="580">
        <v>48.042892785292288</v>
      </c>
      <c r="N395" s="580">
        <v>74.928900482100488</v>
      </c>
    </row>
    <row r="396" spans="1:14" ht="14">
      <c r="A396" s="240"/>
      <c r="B396" s="577" t="s">
        <v>116</v>
      </c>
      <c r="C396" s="582">
        <v>50</v>
      </c>
      <c r="D396" s="582">
        <v>42.890677397719642</v>
      </c>
      <c r="E396" s="582">
        <v>65.583615645210941</v>
      </c>
      <c r="F396" s="582">
        <v>62.684210526315788</v>
      </c>
      <c r="G396" s="582">
        <v>67.054147292635378</v>
      </c>
      <c r="H396" s="582">
        <v>78.769045709703278</v>
      </c>
      <c r="I396" s="582">
        <v>59.260372820204452</v>
      </c>
      <c r="J396" s="582">
        <v>50</v>
      </c>
      <c r="K396" s="582">
        <v>58.97212543554005</v>
      </c>
      <c r="L396" s="582">
        <v>64.913658452680238</v>
      </c>
      <c r="M396" s="582">
        <v>50.204918032786928</v>
      </c>
      <c r="N396" s="582">
        <v>58.239914918355467</v>
      </c>
    </row>
    <row r="397" spans="1:14" ht="14">
      <c r="A397" s="238">
        <v>2023</v>
      </c>
      <c r="B397" s="575" t="s">
        <v>105</v>
      </c>
      <c r="C397" s="578">
        <v>50</v>
      </c>
      <c r="D397" s="578">
        <v>62.468640240842952</v>
      </c>
      <c r="E397" s="578">
        <v>68.638053396417689</v>
      </c>
      <c r="F397" s="578">
        <v>47.050282744918228</v>
      </c>
      <c r="G397" s="578">
        <v>63.734061930783241</v>
      </c>
      <c r="H397" s="578">
        <v>85.359589041095887</v>
      </c>
      <c r="I397" s="578">
        <v>55.06485484867202</v>
      </c>
      <c r="J397" s="578">
        <v>52.532617037605533</v>
      </c>
      <c r="K397" s="578">
        <v>58.818493150684922</v>
      </c>
      <c r="L397" s="578">
        <v>74.648407196398836</v>
      </c>
      <c r="M397" s="578">
        <v>55.620014814840268</v>
      </c>
      <c r="N397" s="578">
        <v>67.451681635344258</v>
      </c>
    </row>
    <row r="398" spans="1:14" ht="14">
      <c r="A398" s="239"/>
      <c r="B398" s="576" t="s">
        <v>106</v>
      </c>
      <c r="C398" s="580">
        <v>50</v>
      </c>
      <c r="D398" s="580">
        <v>79.254874651810582</v>
      </c>
      <c r="E398" s="580">
        <v>65.003071253071241</v>
      </c>
      <c r="F398" s="580">
        <v>62.922740524781346</v>
      </c>
      <c r="G398" s="580">
        <v>61.334377174669449</v>
      </c>
      <c r="H398" s="580">
        <v>55.52570990023024</v>
      </c>
      <c r="I398" s="580">
        <v>54.017305315203963</v>
      </c>
      <c r="J398" s="580">
        <v>53.069838833461247</v>
      </c>
      <c r="K398" s="580">
        <v>41.8402777777778</v>
      </c>
      <c r="L398" s="580">
        <v>65.072016513159426</v>
      </c>
      <c r="M398" s="580">
        <v>57.37195909249278</v>
      </c>
      <c r="N398" s="580">
        <v>58.942018421906283</v>
      </c>
    </row>
    <row r="399" spans="1:14" ht="14">
      <c r="A399" s="239"/>
      <c r="B399" s="576" t="s">
        <v>107</v>
      </c>
      <c r="C399" s="580">
        <v>50</v>
      </c>
      <c r="D399" s="580">
        <v>65.773958855995986</v>
      </c>
      <c r="E399" s="580">
        <v>66.494541162584852</v>
      </c>
      <c r="F399" s="580">
        <v>66.763890914394054</v>
      </c>
      <c r="G399" s="580">
        <v>59.045181786092478</v>
      </c>
      <c r="H399" s="580">
        <v>52.01910551454624</v>
      </c>
      <c r="I399" s="580">
        <v>56.063268892794383</v>
      </c>
      <c r="J399" s="580">
        <v>50.690713737528782</v>
      </c>
      <c r="K399" s="580">
        <v>49.385245901639337</v>
      </c>
      <c r="L399" s="580">
        <v>67.468881411242393</v>
      </c>
      <c r="M399" s="580">
        <v>60.424414265228457</v>
      </c>
      <c r="N399" s="580">
        <v>53.65514136920882</v>
      </c>
    </row>
    <row r="400" spans="1:14" ht="14">
      <c r="A400" s="239"/>
      <c r="B400" s="576" t="s">
        <v>108</v>
      </c>
      <c r="C400" s="580">
        <v>50</v>
      </c>
      <c r="D400" s="580">
        <v>59.141400940930467</v>
      </c>
      <c r="E400" s="580">
        <v>59.29248476641844</v>
      </c>
      <c r="F400" s="580">
        <v>61.201877934272296</v>
      </c>
      <c r="G400" s="580">
        <v>61.480762442640312</v>
      </c>
      <c r="H400" s="580">
        <v>85.848634124496186</v>
      </c>
      <c r="I400" s="580">
        <v>58.743331357439239</v>
      </c>
      <c r="J400" s="580">
        <v>50</v>
      </c>
      <c r="K400" s="580">
        <v>58.861940298507442</v>
      </c>
      <c r="L400" s="580">
        <v>53.724029792238341</v>
      </c>
      <c r="M400" s="580">
        <v>74.273225208896918</v>
      </c>
      <c r="N400" s="580">
        <v>46.048786841080407</v>
      </c>
    </row>
    <row r="401" spans="1:14" ht="14">
      <c r="A401" s="239"/>
      <c r="B401" s="576" t="s">
        <v>109</v>
      </c>
      <c r="C401" s="580">
        <v>50</v>
      </c>
      <c r="D401" s="580">
        <v>75.40226853073068</v>
      </c>
      <c r="E401" s="580">
        <v>64.300115207373267</v>
      </c>
      <c r="F401" s="580">
        <v>52.659974905897123</v>
      </c>
      <c r="G401" s="580">
        <v>72.184150412932695</v>
      </c>
      <c r="H401" s="580">
        <v>59.724238026124823</v>
      </c>
      <c r="I401" s="580">
        <v>50.659868026394719</v>
      </c>
      <c r="J401" s="580">
        <v>51.227935533384503</v>
      </c>
      <c r="K401" s="580">
        <v>50</v>
      </c>
      <c r="L401" s="580">
        <v>54.334891911077641</v>
      </c>
      <c r="M401" s="580">
        <v>57.991383057370747</v>
      </c>
      <c r="N401" s="580">
        <v>63.380795209338118</v>
      </c>
    </row>
    <row r="402" spans="1:14" ht="14">
      <c r="A402" s="239"/>
      <c r="B402" s="576" t="s">
        <v>110</v>
      </c>
      <c r="C402" s="580">
        <v>50</v>
      </c>
      <c r="D402" s="580">
        <v>86.655841160051594</v>
      </c>
      <c r="E402" s="580">
        <v>61.637783142492317</v>
      </c>
      <c r="F402" s="580">
        <v>58.453750016837667</v>
      </c>
      <c r="G402" s="580">
        <v>55.880558380843581</v>
      </c>
      <c r="H402" s="580">
        <v>46.168175567925843</v>
      </c>
      <c r="I402" s="580">
        <v>50.163144037389159</v>
      </c>
      <c r="J402" s="580">
        <v>65.463987076431053</v>
      </c>
      <c r="K402" s="580">
        <v>58.888912595999741</v>
      </c>
      <c r="L402" s="580">
        <v>62.639578731395538</v>
      </c>
      <c r="M402" s="580">
        <v>68.722784363394851</v>
      </c>
      <c r="N402" s="580">
        <v>64.777374058036855</v>
      </c>
    </row>
    <row r="403" spans="1:14" ht="14">
      <c r="A403" s="239"/>
      <c r="B403" s="576" t="s">
        <v>117</v>
      </c>
      <c r="C403" s="580">
        <v>50</v>
      </c>
      <c r="D403" s="580">
        <v>91.167009778692744</v>
      </c>
      <c r="E403" s="580">
        <v>64.381990249498131</v>
      </c>
      <c r="F403" s="580">
        <v>54.872353673723538</v>
      </c>
      <c r="G403" s="580">
        <v>59.357277882797753</v>
      </c>
      <c r="H403" s="580">
        <v>57.741639945029767</v>
      </c>
      <c r="I403" s="580">
        <v>50.925925925925931</v>
      </c>
      <c r="J403" s="580">
        <v>50</v>
      </c>
      <c r="K403" s="580">
        <v>59.772296015180252</v>
      </c>
      <c r="L403" s="580">
        <v>59.543260304493131</v>
      </c>
      <c r="M403" s="580">
        <v>31.695830920121939</v>
      </c>
      <c r="N403" s="580">
        <v>54.144012730407127</v>
      </c>
    </row>
    <row r="404" spans="1:14" ht="14">
      <c r="A404" s="239"/>
      <c r="B404" s="576" t="s">
        <v>112</v>
      </c>
      <c r="C404" s="580">
        <v>50</v>
      </c>
      <c r="D404" s="580">
        <v>62.842465753424662</v>
      </c>
      <c r="E404" s="580">
        <v>50.581733566026763</v>
      </c>
      <c r="F404" s="580">
        <v>66.933039404794712</v>
      </c>
      <c r="G404" s="580">
        <v>53.236018290538162</v>
      </c>
      <c r="H404" s="580">
        <v>85.535800096107636</v>
      </c>
      <c r="I404" s="580">
        <v>49.477886977886968</v>
      </c>
      <c r="J404" s="580">
        <v>50.422102839600917</v>
      </c>
      <c r="K404" s="580">
        <v>58.910034602076109</v>
      </c>
      <c r="L404" s="580">
        <v>54.77469702903003</v>
      </c>
      <c r="M404" s="580">
        <v>57.986043108784969</v>
      </c>
      <c r="N404" s="580">
        <v>58.918652018269349</v>
      </c>
    </row>
    <row r="405" spans="1:14" ht="14">
      <c r="A405" s="239"/>
      <c r="B405" s="576" t="s">
        <v>113</v>
      </c>
      <c r="C405" s="580">
        <v>50</v>
      </c>
      <c r="D405" s="580">
        <v>62.971202570757633</v>
      </c>
      <c r="E405" s="580">
        <v>62.786259541984712</v>
      </c>
      <c r="F405" s="580">
        <v>70.14005602240897</v>
      </c>
      <c r="G405" s="580">
        <v>54.358150579689898</v>
      </c>
      <c r="H405" s="580">
        <v>59.98180991359709</v>
      </c>
      <c r="I405" s="580">
        <v>71.023765996343684</v>
      </c>
      <c r="J405" s="580">
        <v>52.532617037605533</v>
      </c>
      <c r="K405" s="580">
        <v>59.841827768014042</v>
      </c>
      <c r="L405" s="580">
        <v>50.153061224489797</v>
      </c>
      <c r="M405" s="580">
        <v>50</v>
      </c>
      <c r="N405" s="580">
        <v>54.797368164845118</v>
      </c>
    </row>
    <row r="406" spans="1:14" ht="14">
      <c r="A406" s="239"/>
      <c r="B406" s="576" t="s">
        <v>114</v>
      </c>
      <c r="C406" s="580">
        <v>50</v>
      </c>
      <c r="D406" s="580">
        <v>50</v>
      </c>
      <c r="E406" s="580">
        <v>58.223623120636432</v>
      </c>
      <c r="F406" s="580">
        <v>63.273596537004252</v>
      </c>
      <c r="G406" s="580">
        <v>63.501442746239192</v>
      </c>
      <c r="H406" s="580">
        <v>52.445990154662759</v>
      </c>
      <c r="I406" s="580">
        <v>59.492319656090459</v>
      </c>
      <c r="J406" s="580">
        <v>50</v>
      </c>
      <c r="K406" s="580">
        <v>52.144743279055959</v>
      </c>
      <c r="L406" s="580">
        <v>62.10012105830198</v>
      </c>
      <c r="M406" s="580">
        <v>49.536894698422351</v>
      </c>
      <c r="N406" s="580">
        <v>51.307462548344454</v>
      </c>
    </row>
    <row r="407" spans="1:14" ht="14">
      <c r="A407" s="239"/>
      <c r="B407" s="576" t="s">
        <v>115</v>
      </c>
      <c r="C407" s="580">
        <v>50</v>
      </c>
      <c r="D407" s="580">
        <v>57.004393900232621</v>
      </c>
      <c r="E407" s="580">
        <v>58.223592042588962</v>
      </c>
      <c r="F407" s="580">
        <v>52.090081752275182</v>
      </c>
      <c r="G407" s="580">
        <v>60.772320613474527</v>
      </c>
      <c r="H407" s="580">
        <v>56.836348338241493</v>
      </c>
      <c r="I407" s="580">
        <v>58.641404805914974</v>
      </c>
      <c r="J407" s="580">
        <v>51.995395241749833</v>
      </c>
      <c r="K407" s="580">
        <v>50.465549348230923</v>
      </c>
      <c r="L407" s="580">
        <v>45.245353561585787</v>
      </c>
      <c r="M407" s="580">
        <v>53.427443002126147</v>
      </c>
      <c r="N407" s="580">
        <v>65.850628645565806</v>
      </c>
    </row>
    <row r="408" spans="1:14" ht="14">
      <c r="A408" s="240"/>
      <c r="B408" s="577" t="s">
        <v>116</v>
      </c>
      <c r="C408" s="582">
        <v>50</v>
      </c>
      <c r="D408" s="582">
        <v>59.839625793518209</v>
      </c>
      <c r="E408" s="582">
        <v>59.172763083849183</v>
      </c>
      <c r="F408" s="582">
        <v>52.97065139584825</v>
      </c>
      <c r="G408" s="582">
        <v>54.051973051010577</v>
      </c>
      <c r="H408" s="582">
        <v>57.706013363028958</v>
      </c>
      <c r="I408" s="582">
        <v>70.524691358024683</v>
      </c>
      <c r="J408" s="582">
        <v>50.561580170410537</v>
      </c>
      <c r="K408" s="582">
        <v>33.67729831144463</v>
      </c>
      <c r="L408" s="582">
        <v>51.710968530400237</v>
      </c>
      <c r="M408" s="582">
        <v>42.729234816038868</v>
      </c>
      <c r="N408" s="582">
        <v>48.302921901713333</v>
      </c>
    </row>
    <row r="409" spans="1:14" ht="14">
      <c r="A409" s="238">
        <v>2024</v>
      </c>
      <c r="B409" s="575" t="s">
        <v>105</v>
      </c>
      <c r="C409" s="578">
        <v>50</v>
      </c>
      <c r="D409" s="578">
        <v>64.400337837837867</v>
      </c>
      <c r="E409" s="578">
        <v>49.137931034482747</v>
      </c>
      <c r="F409" s="578">
        <v>50.857915148666123</v>
      </c>
      <c r="G409" s="578">
        <v>65.276443956646986</v>
      </c>
      <c r="H409" s="578">
        <v>84.111514052583857</v>
      </c>
      <c r="I409" s="578">
        <v>50.174621653084976</v>
      </c>
      <c r="J409" s="578">
        <v>52.273588480485031</v>
      </c>
      <c r="K409" s="578">
        <v>62.926136363636381</v>
      </c>
      <c r="L409" s="578">
        <v>83.394890735610957</v>
      </c>
      <c r="M409" s="578">
        <v>79.788323659952212</v>
      </c>
      <c r="N409" s="578">
        <v>68.149829738933022</v>
      </c>
    </row>
    <row r="410" spans="1:14" ht="14">
      <c r="A410" s="239"/>
      <c r="B410" s="576" t="s">
        <v>106</v>
      </c>
      <c r="C410" s="580">
        <v>50</v>
      </c>
      <c r="D410" s="580">
        <v>64.751107636174112</v>
      </c>
      <c r="E410" s="580">
        <v>50.016966406515103</v>
      </c>
      <c r="F410" s="580">
        <v>47.776781137878011</v>
      </c>
      <c r="G410" s="580">
        <v>51.137146795313583</v>
      </c>
      <c r="H410" s="580">
        <v>50</v>
      </c>
      <c r="I410" s="580">
        <v>52.843601895734587</v>
      </c>
      <c r="J410" s="580">
        <v>68.946570670708596</v>
      </c>
      <c r="K410" s="580">
        <v>53.559870550161797</v>
      </c>
      <c r="L410" s="580">
        <v>59.120370370370367</v>
      </c>
      <c r="M410" s="580">
        <v>73.89029803424225</v>
      </c>
      <c r="N410" s="580">
        <v>56.769946657587113</v>
      </c>
    </row>
    <row r="411" spans="1:14" ht="14">
      <c r="A411" s="239"/>
      <c r="B411" s="576" t="s">
        <v>107</v>
      </c>
      <c r="C411" s="580">
        <v>50</v>
      </c>
      <c r="D411" s="580">
        <v>64.78751084128362</v>
      </c>
      <c r="E411" s="580">
        <v>56.57040882543803</v>
      </c>
      <c r="F411" s="580">
        <v>67.378602960270058</v>
      </c>
      <c r="G411" s="580">
        <v>74.617534568990862</v>
      </c>
      <c r="H411" s="580">
        <v>55.843230403800483</v>
      </c>
      <c r="I411" s="580">
        <v>53.48970251716247</v>
      </c>
      <c r="J411" s="580">
        <v>53.618794998105344</v>
      </c>
      <c r="K411" s="580">
        <v>78.387096774193552</v>
      </c>
      <c r="L411" s="580">
        <v>65.118634259259238</v>
      </c>
      <c r="M411" s="580">
        <v>74.025974025974051</v>
      </c>
      <c r="N411" s="580">
        <v>50.515463917525757</v>
      </c>
    </row>
    <row r="412" spans="1:14" ht="14">
      <c r="A412" s="239"/>
      <c r="B412" s="576" t="s">
        <v>108</v>
      </c>
      <c r="C412" s="580">
        <v>50</v>
      </c>
      <c r="D412" s="580">
        <v>60.065765436609453</v>
      </c>
      <c r="E412" s="580">
        <v>50.81466395112016</v>
      </c>
      <c r="F412" s="580">
        <v>49.620578778135041</v>
      </c>
      <c r="G412" s="580">
        <v>48.666666666666657</v>
      </c>
      <c r="H412" s="580">
        <v>52.121609798775147</v>
      </c>
      <c r="I412" s="580">
        <v>49.757869249394673</v>
      </c>
      <c r="J412" s="580">
        <v>60.071513706793802</v>
      </c>
      <c r="K412" s="580">
        <v>30.128205128205121</v>
      </c>
      <c r="L412" s="580">
        <v>54.923992068737597</v>
      </c>
      <c r="M412" s="580">
        <v>76.850904128283872</v>
      </c>
      <c r="N412" s="580">
        <v>53.028609745194458</v>
      </c>
    </row>
    <row r="413" spans="1:14" ht="14">
      <c r="A413" s="239"/>
      <c r="B413" s="576" t="s">
        <v>109</v>
      </c>
      <c r="C413" s="580">
        <v>50</v>
      </c>
      <c r="D413" s="580">
        <v>63.211872586872609</v>
      </c>
      <c r="E413" s="580">
        <v>53.898601398601393</v>
      </c>
      <c r="F413" s="580">
        <v>41.683220765461527</v>
      </c>
      <c r="G413" s="580">
        <v>56.519933554817278</v>
      </c>
      <c r="H413" s="580">
        <v>58.027121609798783</v>
      </c>
      <c r="I413" s="580">
        <v>52.701863354037258</v>
      </c>
      <c r="J413" s="580">
        <v>50</v>
      </c>
      <c r="K413" s="580">
        <v>50</v>
      </c>
      <c r="L413" s="580">
        <v>66.41406920217328</v>
      </c>
      <c r="M413" s="580">
        <v>74.487577639751564</v>
      </c>
      <c r="N413" s="580">
        <v>51.137461100976502</v>
      </c>
    </row>
    <row r="414" spans="1:14" ht="14">
      <c r="A414" s="239"/>
      <c r="B414" s="576" t="s">
        <v>110</v>
      </c>
      <c r="C414" s="580">
        <v>50</v>
      </c>
      <c r="D414" s="580">
        <v>62.219027705175137</v>
      </c>
      <c r="E414" s="580">
        <v>55.199613650998067</v>
      </c>
      <c r="F414" s="580">
        <v>60.395698331724802</v>
      </c>
      <c r="G414" s="580">
        <v>55.21820269882285</v>
      </c>
      <c r="H414" s="580">
        <v>52.734033245844273</v>
      </c>
      <c r="I414" s="580">
        <v>50</v>
      </c>
      <c r="J414" s="580">
        <v>50</v>
      </c>
      <c r="K414" s="580">
        <v>70.278637770897845</v>
      </c>
      <c r="L414" s="580">
        <v>58.940744625065527</v>
      </c>
      <c r="M414" s="580">
        <v>79.138950480413911</v>
      </c>
      <c r="N414" s="580">
        <v>41.83083511777302</v>
      </c>
    </row>
    <row r="415" spans="1:14" ht="14">
      <c r="A415" s="239"/>
      <c r="B415" s="576" t="s">
        <v>117</v>
      </c>
      <c r="C415" s="580">
        <v>50</v>
      </c>
      <c r="D415" s="580">
        <v>65.709459459459481</v>
      </c>
      <c r="E415" s="580">
        <v>54.000000000000007</v>
      </c>
      <c r="F415" s="580">
        <v>55.251957780047661</v>
      </c>
      <c r="G415" s="580">
        <v>53.844178082191767</v>
      </c>
      <c r="H415" s="580">
        <v>55.358705161854772</v>
      </c>
      <c r="I415" s="580">
        <v>49.376114081996427</v>
      </c>
      <c r="J415" s="580">
        <v>52.792286058658092</v>
      </c>
      <c r="K415" s="580">
        <v>75.949367088607602</v>
      </c>
      <c r="L415" s="580">
        <v>62.424803331790841</v>
      </c>
      <c r="M415" s="580">
        <v>75.358422939068106</v>
      </c>
      <c r="N415" s="580">
        <v>53.242994342849627</v>
      </c>
    </row>
    <row r="416" spans="1:14" ht="14">
      <c r="A416" s="239"/>
      <c r="B416" s="576" t="s">
        <v>112</v>
      </c>
      <c r="C416" s="580">
        <v>50</v>
      </c>
      <c r="D416" s="580">
        <v>64.322339246119753</v>
      </c>
      <c r="E416" s="580">
        <v>56.216472073209211</v>
      </c>
      <c r="F416" s="580">
        <v>67.47318859534397</v>
      </c>
      <c r="G416" s="580">
        <v>51.77471399237313</v>
      </c>
      <c r="H416" s="580">
        <v>56.214555765595463</v>
      </c>
      <c r="I416" s="580">
        <v>50.290528762347471</v>
      </c>
      <c r="J416" s="580">
        <v>50</v>
      </c>
      <c r="K416" s="580">
        <v>75</v>
      </c>
      <c r="L416" s="580">
        <v>58.457595526561043</v>
      </c>
      <c r="M416" s="580">
        <v>73.863247863247878</v>
      </c>
      <c r="N416" s="580">
        <v>50.486631614274543</v>
      </c>
    </row>
    <row r="417" spans="1:14" ht="14">
      <c r="A417" s="239"/>
      <c r="B417" s="576" t="s">
        <v>113</v>
      </c>
      <c r="C417" s="580">
        <v>50</v>
      </c>
      <c r="D417" s="580">
        <v>62.481884057971037</v>
      </c>
      <c r="E417" s="580">
        <v>53.893442622950822</v>
      </c>
      <c r="F417" s="580">
        <v>47.640006070723928</v>
      </c>
      <c r="G417" s="580">
        <v>57.70428592614563</v>
      </c>
      <c r="H417" s="580">
        <v>55.752405949256342</v>
      </c>
      <c r="I417" s="580">
        <v>47.524188958451909</v>
      </c>
      <c r="J417" s="580">
        <v>50.683005222981123</v>
      </c>
      <c r="K417" s="580">
        <v>64.345403899721461</v>
      </c>
      <c r="L417" s="580">
        <v>53.369786368260428</v>
      </c>
      <c r="M417" s="580">
        <v>51.007127362875742</v>
      </c>
      <c r="N417" s="580">
        <v>66.702115750587694</v>
      </c>
    </row>
    <row r="418" spans="1:14" ht="14">
      <c r="A418" s="239"/>
      <c r="B418" s="576" t="s">
        <v>114</v>
      </c>
      <c r="C418" s="580">
        <v>50</v>
      </c>
      <c r="D418" s="580">
        <v>63.658301158301192</v>
      </c>
      <c r="E418" s="580">
        <v>58.825283243887903</v>
      </c>
      <c r="F418" s="580">
        <v>35.906544609919372</v>
      </c>
      <c r="G418" s="580">
        <v>45.000751766651632</v>
      </c>
      <c r="H418" s="580">
        <v>58.414396887159533</v>
      </c>
      <c r="I418" s="580">
        <v>48.113207547169807</v>
      </c>
      <c r="J418" s="580">
        <v>49.035757332261952</v>
      </c>
      <c r="K418" s="580">
        <v>63.826815642458122</v>
      </c>
      <c r="L418" s="580">
        <v>58.593356819325606</v>
      </c>
      <c r="M418" s="580">
        <v>75.512740832815425</v>
      </c>
      <c r="N418" s="580">
        <v>72.630082808058347</v>
      </c>
    </row>
    <row r="419" spans="1:14" ht="14">
      <c r="A419" s="239"/>
      <c r="B419" s="576" t="s">
        <v>115</v>
      </c>
      <c r="C419" s="580">
        <v>50</v>
      </c>
      <c r="D419" s="580">
        <v>63.658301158301192</v>
      </c>
      <c r="E419" s="580">
        <v>53.325573661456602</v>
      </c>
      <c r="F419" s="580">
        <v>41.419966679482243</v>
      </c>
      <c r="G419" s="580">
        <v>45.020091848450058</v>
      </c>
      <c r="H419" s="580">
        <v>51.946631671041118</v>
      </c>
      <c r="I419" s="580">
        <v>47.705207413945267</v>
      </c>
      <c r="J419" s="580">
        <v>50</v>
      </c>
      <c r="K419" s="580">
        <v>69.850746268656735</v>
      </c>
      <c r="L419" s="580">
        <v>74.788255223037837</v>
      </c>
      <c r="M419" s="580">
        <v>77.49824067558059</v>
      </c>
      <c r="N419" s="580">
        <v>52.774892417272589</v>
      </c>
    </row>
    <row r="420" spans="1:14" ht="14">
      <c r="A420" s="240"/>
      <c r="B420" s="577" t="s">
        <v>116</v>
      </c>
      <c r="C420" s="582">
        <v>50</v>
      </c>
      <c r="D420" s="582">
        <v>64.160620465349041</v>
      </c>
      <c r="E420" s="582">
        <v>52.949950281736832</v>
      </c>
      <c r="F420" s="582">
        <v>42.844996729888813</v>
      </c>
      <c r="G420" s="582">
        <v>52.140007254261882</v>
      </c>
      <c r="H420" s="582">
        <v>50</v>
      </c>
      <c r="I420" s="582">
        <v>50.341614906832298</v>
      </c>
      <c r="J420" s="582">
        <v>50</v>
      </c>
      <c r="K420" s="582">
        <v>50</v>
      </c>
      <c r="L420" s="582">
        <v>68.379874819451146</v>
      </c>
      <c r="M420" s="582">
        <v>84.841174105347818</v>
      </c>
      <c r="N420" s="582">
        <v>44.609213565090549</v>
      </c>
    </row>
    <row r="421" spans="1:14" ht="14">
      <c r="A421" s="238">
        <v>2025</v>
      </c>
      <c r="B421" s="575" t="s">
        <v>105</v>
      </c>
      <c r="C421" s="578">
        <v>50</v>
      </c>
      <c r="D421" s="578">
        <v>63.537675606641102</v>
      </c>
      <c r="E421" s="578">
        <v>62.961099932930942</v>
      </c>
      <c r="F421" s="578">
        <v>49.150014912019088</v>
      </c>
      <c r="G421" s="578">
        <v>49.283470749901852</v>
      </c>
      <c r="H421" s="578">
        <v>50</v>
      </c>
      <c r="I421" s="578">
        <v>53.926512968299711</v>
      </c>
      <c r="J421" s="578">
        <v>50</v>
      </c>
      <c r="K421" s="578">
        <v>45.238095238095241</v>
      </c>
      <c r="L421" s="578">
        <v>63.194623933833029</v>
      </c>
      <c r="M421" s="578">
        <v>78.925331472435445</v>
      </c>
      <c r="N421" s="578">
        <v>38.085327783558768</v>
      </c>
    </row>
    <row r="422" spans="1:14" ht="14">
      <c r="A422" s="239"/>
      <c r="B422" s="576" t="s">
        <v>106</v>
      </c>
      <c r="C422" s="580">
        <v>50</v>
      </c>
      <c r="D422" s="580">
        <v>90.138190954773876</v>
      </c>
      <c r="E422" s="580">
        <v>58.494623655913998</v>
      </c>
      <c r="F422" s="580">
        <v>42.057694688622007</v>
      </c>
      <c r="G422" s="580">
        <v>63.214749837556838</v>
      </c>
      <c r="H422" s="580">
        <v>56.868867082961643</v>
      </c>
      <c r="I422" s="580">
        <v>49.366085578446913</v>
      </c>
      <c r="J422" s="580">
        <v>50</v>
      </c>
      <c r="K422" s="580">
        <v>42.55952380952381</v>
      </c>
      <c r="L422" s="580">
        <v>59.839759639459189</v>
      </c>
      <c r="M422" s="580">
        <v>75.841514726507711</v>
      </c>
      <c r="N422" s="580">
        <v>74.072476272648828</v>
      </c>
    </row>
    <row r="423" spans="1:14" ht="14">
      <c r="A423" s="239"/>
      <c r="B423" s="576" t="s">
        <v>107</v>
      </c>
      <c r="C423" s="580">
        <v>50</v>
      </c>
      <c r="D423" s="580">
        <v>62.708139070201128</v>
      </c>
      <c r="E423" s="580">
        <v>57.069970845481073</v>
      </c>
      <c r="F423" s="580">
        <v>57.172611299140833</v>
      </c>
      <c r="G423" s="580">
        <v>48.889630990148603</v>
      </c>
      <c r="H423" s="580">
        <v>40.120160213618163</v>
      </c>
      <c r="I423" s="580">
        <v>62.261484098939953</v>
      </c>
      <c r="J423" s="580">
        <v>50.739299610894953</v>
      </c>
      <c r="K423" s="580">
        <v>70.06079027355625</v>
      </c>
      <c r="L423" s="580">
        <v>51.523325928276734</v>
      </c>
      <c r="M423" s="580">
        <v>84.31178103927013</v>
      </c>
      <c r="N423" s="580">
        <v>55.8733651142892</v>
      </c>
    </row>
    <row r="424" spans="1:14" ht="14">
      <c r="A424" s="239"/>
      <c r="B424" s="576" t="s">
        <v>108</v>
      </c>
      <c r="C424" s="580">
        <v>50</v>
      </c>
      <c r="D424" s="580">
        <v>63.404228222108998</v>
      </c>
      <c r="E424" s="580">
        <v>39.927556422401757</v>
      </c>
      <c r="F424" s="580">
        <v>62.511822726658536</v>
      </c>
      <c r="G424" s="580">
        <v>49.222452606635073</v>
      </c>
      <c r="H424" s="580">
        <v>47.033158813263533</v>
      </c>
      <c r="I424" s="580">
        <v>45.973389355742299</v>
      </c>
      <c r="J424" s="580">
        <v>52.435610302351627</v>
      </c>
      <c r="K424" s="580">
        <v>70.245398773006144</v>
      </c>
      <c r="L424" s="580">
        <v>66.878980891719749</v>
      </c>
      <c r="M424" s="580">
        <v>50.670186839967513</v>
      </c>
      <c r="N424" s="580">
        <v>43.984962406015057</v>
      </c>
    </row>
    <row r="425" spans="1:14" ht="14">
      <c r="A425" s="239"/>
      <c r="B425" s="576" t="s">
        <v>109</v>
      </c>
      <c r="C425" s="580">
        <v>50</v>
      </c>
      <c r="D425" s="580">
        <v>24.72708141523082</v>
      </c>
      <c r="E425" s="580">
        <v>56.59103187466237</v>
      </c>
      <c r="F425" s="580">
        <v>60.831656606304463</v>
      </c>
      <c r="G425" s="580">
        <v>53.746540134440487</v>
      </c>
      <c r="H425" s="580">
        <v>53.72709413888397</v>
      </c>
      <c r="I425" s="580">
        <v>59.954751131221713</v>
      </c>
      <c r="J425" s="580">
        <v>48.995161890584292</v>
      </c>
      <c r="K425" s="580">
        <v>73.726114649681534</v>
      </c>
      <c r="L425" s="580">
        <v>60.7495568498354</v>
      </c>
      <c r="M425" s="580">
        <v>75.858302122347069</v>
      </c>
      <c r="N425" s="580">
        <v>38.972526759091657</v>
      </c>
    </row>
    <row r="426" spans="1:14" ht="14">
      <c r="A426" s="239"/>
      <c r="B426" s="576" t="s">
        <v>110</v>
      </c>
      <c r="C426" s="584">
        <v>50</v>
      </c>
      <c r="D426" s="594">
        <v>64.106380225184409</v>
      </c>
      <c r="E426" s="594">
        <v>57.821387940841888</v>
      </c>
      <c r="F426" s="594">
        <v>41.939990281827008</v>
      </c>
      <c r="G426" s="594">
        <v>43.088044184535399</v>
      </c>
      <c r="H426" s="594">
        <v>65.734476036350543</v>
      </c>
      <c r="I426" s="594">
        <v>41.258445945945958</v>
      </c>
      <c r="J426" s="594">
        <v>48.927765237020317</v>
      </c>
      <c r="K426" s="594">
        <v>56.0126582278481</v>
      </c>
      <c r="L426" s="594">
        <v>61.955103106238582</v>
      </c>
      <c r="M426" s="594">
        <v>49.33787362845252</v>
      </c>
      <c r="N426" s="594">
        <v>47.262016406874949</v>
      </c>
    </row>
    <row r="427" spans="1:14" ht="14">
      <c r="A427" s="239"/>
      <c r="B427" s="576" t="s">
        <v>117</v>
      </c>
      <c r="C427" s="584">
        <v>50</v>
      </c>
      <c r="D427" s="594">
        <v>39.276270006958917</v>
      </c>
      <c r="E427" s="594">
        <v>47.41530373831776</v>
      </c>
      <c r="F427" s="594">
        <v>39.296039317721913</v>
      </c>
      <c r="G427" s="594">
        <v>54.386550879536863</v>
      </c>
      <c r="H427" s="594">
        <v>60.996416588163918</v>
      </c>
      <c r="I427" s="594">
        <v>41.845493562231773</v>
      </c>
      <c r="J427" s="594">
        <v>50.633855331841907</v>
      </c>
      <c r="K427" s="594">
        <v>44.565217391304351</v>
      </c>
      <c r="L427" s="594">
        <v>63.730723606168453</v>
      </c>
      <c r="M427" s="594">
        <v>80.458680818802122</v>
      </c>
      <c r="N427" s="594">
        <v>59.276979978390003</v>
      </c>
    </row>
    <row r="428" spans="1:14" ht="14">
      <c r="A428" s="239"/>
      <c r="B428" s="576" t="s">
        <v>112</v>
      </c>
      <c r="C428" s="584">
        <v>50</v>
      </c>
      <c r="D428" s="594">
        <v>41.188723788362708</v>
      </c>
      <c r="E428" s="594">
        <v>58.939264328485912</v>
      </c>
      <c r="F428" s="594">
        <v>53.223516046577657</v>
      </c>
      <c r="G428" s="594">
        <v>47.456247456247453</v>
      </c>
      <c r="H428" s="594">
        <v>62.383983207530783</v>
      </c>
      <c r="I428" s="594">
        <v>51.506024096385538</v>
      </c>
      <c r="J428" s="594">
        <v>50</v>
      </c>
      <c r="K428" s="594">
        <v>48.230088495575217</v>
      </c>
      <c r="L428" s="594">
        <v>54.038179148311308</v>
      </c>
      <c r="M428" s="594">
        <v>51.034619976124162</v>
      </c>
      <c r="N428" s="594">
        <v>40.538668194702417</v>
      </c>
    </row>
    <row r="429" spans="1:14" ht="14">
      <c r="A429" s="239"/>
      <c r="B429" s="576" t="s">
        <v>113</v>
      </c>
      <c r="C429" s="584">
        <v>50</v>
      </c>
      <c r="D429" s="594">
        <v>39.459644322845399</v>
      </c>
      <c r="E429" s="594">
        <v>51.048752834467123</v>
      </c>
      <c r="F429" s="594">
        <v>65.168762409000649</v>
      </c>
      <c r="G429" s="594">
        <v>53.397843108287788</v>
      </c>
      <c r="H429" s="594">
        <v>62.766212853703927</v>
      </c>
      <c r="I429" s="594">
        <v>49.32508436445444</v>
      </c>
      <c r="J429" s="594">
        <v>49.373156342182902</v>
      </c>
      <c r="K429" s="594">
        <v>23.41137123745818</v>
      </c>
      <c r="L429" s="594">
        <v>59.637583892617457</v>
      </c>
      <c r="M429" s="594">
        <v>50.477516912057297</v>
      </c>
      <c r="N429" s="594">
        <v>49.244980467007572</v>
      </c>
    </row>
    <row r="430" spans="1:14" ht="14">
      <c r="A430" s="239"/>
      <c r="B430" s="576" t="s">
        <v>114</v>
      </c>
      <c r="C430" s="584">
        <v>50</v>
      </c>
      <c r="D430" s="594">
        <v>40.727750986409447</v>
      </c>
      <c r="E430" s="594">
        <v>52.10336538461538</v>
      </c>
      <c r="F430" s="594">
        <v>48.403871154123927</v>
      </c>
      <c r="G430" s="594">
        <v>51.938895417156289</v>
      </c>
      <c r="H430" s="594">
        <v>54.470089857404062</v>
      </c>
      <c r="I430" s="594">
        <v>50.477239353891328</v>
      </c>
      <c r="J430" s="594">
        <v>50</v>
      </c>
      <c r="K430" s="594">
        <v>50</v>
      </c>
      <c r="L430" s="594">
        <v>63.597811217510262</v>
      </c>
      <c r="M430" s="594">
        <v>52.100494233937397</v>
      </c>
      <c r="N430" s="594">
        <v>71.877204487431442</v>
      </c>
    </row>
    <row r="431" spans="1:14" ht="14">
      <c r="A431" s="239"/>
      <c r="B431" s="576" t="s">
        <v>115</v>
      </c>
      <c r="C431" s="584">
        <v>50</v>
      </c>
      <c r="D431" s="594">
        <v>38.777908343125731</v>
      </c>
      <c r="E431" s="594">
        <v>49.696969696969703</v>
      </c>
      <c r="F431" s="594">
        <v>44</v>
      </c>
      <c r="G431" s="594">
        <v>54.397834912043301</v>
      </c>
      <c r="H431" s="594">
        <v>61.013215859030844</v>
      </c>
      <c r="I431" s="594">
        <v>49.852289512555387</v>
      </c>
      <c r="J431" s="594">
        <v>47.201689545934528</v>
      </c>
      <c r="K431" s="594">
        <v>54.049295774647888</v>
      </c>
      <c r="L431" s="594">
        <v>60.015408320493073</v>
      </c>
      <c r="M431" s="594">
        <v>77.175283732660773</v>
      </c>
      <c r="N431" s="594">
        <v>38.981868898186889</v>
      </c>
    </row>
    <row r="432" spans="1:14" ht="14">
      <c r="A432" s="240"/>
      <c r="B432" s="577" t="s">
        <v>116</v>
      </c>
      <c r="C432" s="586">
        <v>50</v>
      </c>
      <c r="D432" s="595">
        <v>37.366621067031453</v>
      </c>
      <c r="E432" s="595">
        <v>53.288612565445021</v>
      </c>
      <c r="F432" s="595">
        <v>40.273660205245157</v>
      </c>
      <c r="G432" s="595">
        <v>54.013617631248877</v>
      </c>
      <c r="H432" s="595">
        <v>51.120271813144853</v>
      </c>
      <c r="I432" s="595">
        <v>50</v>
      </c>
      <c r="J432" s="595">
        <v>50.895140664961637</v>
      </c>
      <c r="K432" s="595">
        <v>72.870662460567843</v>
      </c>
      <c r="L432" s="595">
        <v>52.78359146086229</v>
      </c>
      <c r="M432" s="595">
        <v>51.810534016093627</v>
      </c>
      <c r="N432" s="595">
        <v>49.204259805067238</v>
      </c>
    </row>
    <row r="433" spans="1:14" ht="14">
      <c r="A433" s="238">
        <v>2026</v>
      </c>
      <c r="B433" s="575" t="s">
        <v>105</v>
      </c>
      <c r="C433" s="684">
        <v>50</v>
      </c>
      <c r="D433" s="686">
        <v>24.36005035669324</v>
      </c>
      <c r="E433" s="686">
        <v>53.344238458742282</v>
      </c>
      <c r="F433" s="686">
        <v>43.934549558021438</v>
      </c>
      <c r="G433" s="686">
        <v>55.542567699201243</v>
      </c>
      <c r="H433" s="686">
        <v>53.287197231833908</v>
      </c>
      <c r="I433" s="686">
        <v>50.492264416315052</v>
      </c>
      <c r="J433" s="686">
        <v>49.547852298417482</v>
      </c>
      <c r="K433" s="686">
        <v>66.180048661800484</v>
      </c>
      <c r="L433" s="686">
        <v>52.564516129032263</v>
      </c>
      <c r="M433" s="686">
        <v>91.097979412886019</v>
      </c>
      <c r="N433" s="686">
        <v>43.957046603031998</v>
      </c>
    </row>
    <row r="434" spans="1:14" ht="14">
      <c r="A434" s="239"/>
      <c r="B434" s="576" t="s">
        <v>106</v>
      </c>
      <c r="C434" s="584">
        <v>50</v>
      </c>
      <c r="D434" s="594">
        <v>41.828793774319067</v>
      </c>
      <c r="E434" s="594">
        <v>53.606146127312627</v>
      </c>
      <c r="F434" s="594">
        <v>48.739406779661017</v>
      </c>
      <c r="G434" s="594">
        <v>53.622033297910022</v>
      </c>
      <c r="H434" s="594">
        <v>56.658291457286431</v>
      </c>
      <c r="I434" s="594">
        <v>50.142247510668561</v>
      </c>
      <c r="J434" s="594">
        <v>55.096952908587262</v>
      </c>
      <c r="K434" s="594">
        <v>26.65562913907285</v>
      </c>
      <c r="L434" s="594">
        <v>65.385797725176758</v>
      </c>
      <c r="M434" s="594">
        <v>78.822469209972965</v>
      </c>
      <c r="N434" s="594">
        <v>58.450982979284873</v>
      </c>
    </row>
    <row r="435" spans="1:14" ht="14">
      <c r="A435" s="240"/>
      <c r="B435" s="577" t="s">
        <v>107</v>
      </c>
      <c r="C435" s="586">
        <v>50</v>
      </c>
      <c r="D435" s="595">
        <v>40.532349453155888</v>
      </c>
      <c r="E435" s="595">
        <v>60.683760683760681</v>
      </c>
      <c r="F435" s="595">
        <v>51.408673630895855</v>
      </c>
      <c r="G435" s="595">
        <v>53.498085624782455</v>
      </c>
      <c r="H435" s="595">
        <v>56.620619946091644</v>
      </c>
      <c r="I435" s="595">
        <v>50.295109612141651</v>
      </c>
      <c r="J435" s="595">
        <v>51.618303571428569</v>
      </c>
      <c r="K435" s="595">
        <v>28.364116094986809</v>
      </c>
      <c r="L435" s="595">
        <v>66.271463614063777</v>
      </c>
      <c r="M435" s="595">
        <v>55.186721991701248</v>
      </c>
      <c r="N435" s="595">
        <v>39.305103148751357</v>
      </c>
    </row>
    <row r="437" spans="1:14" ht="14">
      <c r="A437" s="823" t="s">
        <v>352</v>
      </c>
      <c r="B437" s="823"/>
      <c r="C437" s="823"/>
      <c r="D437" s="823"/>
      <c r="E437" s="823"/>
      <c r="F437" s="823"/>
      <c r="G437" s="823"/>
      <c r="H437" s="823"/>
      <c r="I437" s="823"/>
      <c r="J437" s="823"/>
      <c r="K437" s="823"/>
      <c r="L437" s="823"/>
      <c r="M437" s="823"/>
      <c r="N437" s="823"/>
    </row>
    <row r="438" spans="1:14" ht="18.649999999999999" customHeight="1">
      <c r="A438" s="717" t="s">
        <v>98</v>
      </c>
      <c r="B438" s="718"/>
      <c r="C438" s="721" t="s">
        <v>322</v>
      </c>
      <c r="D438" s="824" t="s">
        <v>336</v>
      </c>
      <c r="E438" s="825"/>
      <c r="F438" s="825"/>
      <c r="G438" s="825"/>
      <c r="H438" s="825"/>
      <c r="I438" s="825"/>
      <c r="J438" s="825"/>
      <c r="K438" s="825"/>
      <c r="L438" s="825"/>
      <c r="M438" s="825"/>
      <c r="N438" s="826"/>
    </row>
    <row r="439" spans="1:14" ht="60.65" customHeight="1">
      <c r="A439" s="751"/>
      <c r="B439" s="752"/>
      <c r="C439" s="722"/>
      <c r="D439" s="376" t="s">
        <v>337</v>
      </c>
      <c r="E439" s="376" t="s">
        <v>215</v>
      </c>
      <c r="F439" s="376" t="s">
        <v>338</v>
      </c>
      <c r="G439" s="376" t="s">
        <v>339</v>
      </c>
      <c r="H439" s="376" t="s">
        <v>340</v>
      </c>
      <c r="I439" s="376" t="s">
        <v>341</v>
      </c>
      <c r="J439" s="277" t="s">
        <v>342</v>
      </c>
      <c r="K439" s="277" t="s">
        <v>343</v>
      </c>
      <c r="L439" s="277" t="s">
        <v>344</v>
      </c>
      <c r="M439" s="281" t="s">
        <v>345</v>
      </c>
      <c r="N439" s="281" t="s">
        <v>346</v>
      </c>
    </row>
    <row r="440" spans="1:14" ht="14">
      <c r="A440" s="238">
        <v>2020</v>
      </c>
      <c r="B440" s="572" t="s">
        <v>112</v>
      </c>
      <c r="C440" s="579">
        <v>50</v>
      </c>
      <c r="D440" s="578">
        <v>61.710432931156831</v>
      </c>
      <c r="E440" s="578">
        <v>60.163759344962607</v>
      </c>
      <c r="F440" s="578">
        <v>56.766403402187123</v>
      </c>
      <c r="G440" s="578">
        <v>69.605367008681924</v>
      </c>
      <c r="H440" s="578">
        <v>51.944264419961101</v>
      </c>
      <c r="I440" s="578">
        <v>50.571428571428577</v>
      </c>
      <c r="J440" s="578">
        <v>50</v>
      </c>
      <c r="K440" s="578">
        <v>61.844197138314797</v>
      </c>
      <c r="L440" s="579">
        <v>52.675964969185827</v>
      </c>
      <c r="M440" s="578">
        <v>68.498402555910559</v>
      </c>
      <c r="N440" s="578">
        <v>82.225080385852095</v>
      </c>
    </row>
    <row r="441" spans="1:14" ht="14">
      <c r="A441" s="239"/>
      <c r="B441" s="573" t="s">
        <v>113</v>
      </c>
      <c r="C441" s="581">
        <v>50</v>
      </c>
      <c r="D441" s="580">
        <v>65.22198731501058</v>
      </c>
      <c r="E441" s="580">
        <v>57.633991537376588</v>
      </c>
      <c r="F441" s="580">
        <v>59.265929698174133</v>
      </c>
      <c r="G441" s="580">
        <v>71.262274311054796</v>
      </c>
      <c r="H441" s="580">
        <v>51.928640308582438</v>
      </c>
      <c r="I441" s="580">
        <v>62.360801781737187</v>
      </c>
      <c r="J441" s="580">
        <v>54.870003880481192</v>
      </c>
      <c r="K441" s="580">
        <v>62.302839116719262</v>
      </c>
      <c r="L441" s="581">
        <v>70.603790215954149</v>
      </c>
      <c r="M441" s="580">
        <v>59.175870858113854</v>
      </c>
      <c r="N441" s="580">
        <v>67.409778812572782</v>
      </c>
    </row>
    <row r="442" spans="1:14" ht="14">
      <c r="A442" s="239"/>
      <c r="B442" s="573" t="s">
        <v>114</v>
      </c>
      <c r="C442" s="581">
        <v>50</v>
      </c>
      <c r="D442" s="580">
        <v>57.263922518159802</v>
      </c>
      <c r="E442" s="580">
        <v>56.458590852904827</v>
      </c>
      <c r="F442" s="580">
        <v>73.088564284774336</v>
      </c>
      <c r="G442" s="580">
        <v>62.620357634112793</v>
      </c>
      <c r="H442" s="580">
        <v>15.3570468596004</v>
      </c>
      <c r="I442" s="580">
        <v>50.443262411347511</v>
      </c>
      <c r="J442" s="580">
        <v>70.003880481179664</v>
      </c>
      <c r="K442" s="580">
        <v>49.132492113564673</v>
      </c>
      <c r="L442" s="581">
        <v>62.36090225563909</v>
      </c>
      <c r="M442" s="580">
        <v>66.945337620578783</v>
      </c>
      <c r="N442" s="580">
        <v>59.509302578609542</v>
      </c>
    </row>
    <row r="443" spans="1:14" ht="14">
      <c r="A443" s="239"/>
      <c r="B443" s="573" t="s">
        <v>115</v>
      </c>
      <c r="C443" s="581">
        <v>50</v>
      </c>
      <c r="D443" s="580">
        <v>58.775478450287842</v>
      </c>
      <c r="E443" s="580">
        <v>58.298999411418492</v>
      </c>
      <c r="F443" s="580">
        <v>50.503480855295869</v>
      </c>
      <c r="G443" s="580">
        <v>63.01929305731587</v>
      </c>
      <c r="H443" s="580">
        <v>15.343607203655591</v>
      </c>
      <c r="I443" s="580">
        <v>55.63331000699791</v>
      </c>
      <c r="J443" s="580">
        <v>73.050058207217702</v>
      </c>
      <c r="K443" s="580">
        <v>55.071315372424721</v>
      </c>
      <c r="L443" s="581">
        <v>71.956585508946901</v>
      </c>
      <c r="M443" s="580">
        <v>64.663072776280345</v>
      </c>
      <c r="N443" s="580">
        <v>60.646915866219217</v>
      </c>
    </row>
    <row r="444" spans="1:14" ht="14">
      <c r="A444" s="239"/>
      <c r="B444" s="574" t="s">
        <v>116</v>
      </c>
      <c r="C444" s="583">
        <v>50</v>
      </c>
      <c r="D444" s="582">
        <v>65.190052282040426</v>
      </c>
      <c r="E444" s="582">
        <v>58.737458193979933</v>
      </c>
      <c r="F444" s="582">
        <v>60</v>
      </c>
      <c r="G444" s="582">
        <v>71.023765996343698</v>
      </c>
      <c r="H444" s="582">
        <v>61.161492849668633</v>
      </c>
      <c r="I444" s="582">
        <v>63.568215892053978</v>
      </c>
      <c r="J444" s="582">
        <v>81.664726426076825</v>
      </c>
      <c r="K444" s="582">
        <v>51.95758564437196</v>
      </c>
      <c r="L444" s="583">
        <v>63.438438438438439</v>
      </c>
      <c r="M444" s="582">
        <v>62.718299164768418</v>
      </c>
      <c r="N444" s="582">
        <v>68.184163012638649</v>
      </c>
    </row>
    <row r="445" spans="1:14" ht="14">
      <c r="A445" s="238">
        <v>2021</v>
      </c>
      <c r="B445" s="573" t="s">
        <v>105</v>
      </c>
      <c r="C445" s="581">
        <v>50</v>
      </c>
      <c r="D445" s="580">
        <v>61.062780919240268</v>
      </c>
      <c r="E445" s="580">
        <v>60.598141695702672</v>
      </c>
      <c r="F445" s="580">
        <v>71.610541727672043</v>
      </c>
      <c r="G445" s="580">
        <v>62.150389729481887</v>
      </c>
      <c r="H445" s="580">
        <v>16.89518311383728</v>
      </c>
      <c r="I445" s="580">
        <v>60.490266762797418</v>
      </c>
      <c r="J445" s="580">
        <v>84.802121583027343</v>
      </c>
      <c r="K445" s="580">
        <v>61.396468699839502</v>
      </c>
      <c r="L445" s="581">
        <v>59.556103575832303</v>
      </c>
      <c r="M445" s="578">
        <v>65.203193033381709</v>
      </c>
      <c r="N445" s="578">
        <v>75.154004106776171</v>
      </c>
    </row>
    <row r="446" spans="1:14" ht="14">
      <c r="A446" s="239"/>
      <c r="B446" s="573" t="s">
        <v>106</v>
      </c>
      <c r="C446" s="581">
        <v>50</v>
      </c>
      <c r="D446" s="580">
        <v>92.612997526422305</v>
      </c>
      <c r="E446" s="580">
        <v>60.76487252124646</v>
      </c>
      <c r="F446" s="580">
        <v>68.213814342278937</v>
      </c>
      <c r="G446" s="580">
        <v>68.558502981698524</v>
      </c>
      <c r="H446" s="580">
        <v>53.240440699935199</v>
      </c>
      <c r="I446" s="580">
        <v>65.944881889763792</v>
      </c>
      <c r="J446" s="580">
        <v>72.154222766217885</v>
      </c>
      <c r="K446" s="580">
        <v>53.193612774451097</v>
      </c>
      <c r="L446" s="581">
        <v>61.908127208480558</v>
      </c>
      <c r="M446" s="580">
        <v>55.363984674329522</v>
      </c>
      <c r="N446" s="580">
        <v>48.80338733431519</v>
      </c>
    </row>
    <row r="447" spans="1:14" ht="14">
      <c r="A447" s="239"/>
      <c r="B447" s="573" t="s">
        <v>107</v>
      </c>
      <c r="C447" s="581">
        <v>50</v>
      </c>
      <c r="D447" s="580">
        <v>57.091657770321788</v>
      </c>
      <c r="E447" s="580">
        <v>55.156805690268357</v>
      </c>
      <c r="F447" s="580">
        <v>46.403083071652837</v>
      </c>
      <c r="G447" s="580">
        <v>65.362781621429846</v>
      </c>
      <c r="H447" s="580">
        <v>61.268362594052313</v>
      </c>
      <c r="I447" s="580">
        <v>72.031539888682758</v>
      </c>
      <c r="J447" s="580">
        <v>77.764842840512216</v>
      </c>
      <c r="K447" s="580">
        <v>63.001605136436623</v>
      </c>
      <c r="L447" s="581">
        <v>62.156121045392027</v>
      </c>
      <c r="M447" s="580">
        <v>77.366071428571445</v>
      </c>
      <c r="N447" s="580">
        <v>58.079787905567478</v>
      </c>
    </row>
    <row r="448" spans="1:14" ht="14">
      <c r="A448" s="239"/>
      <c r="B448" s="573" t="s">
        <v>108</v>
      </c>
      <c r="C448" s="581">
        <v>50</v>
      </c>
      <c r="D448" s="580">
        <v>56.793279766252731</v>
      </c>
      <c r="E448" s="580">
        <v>61.591220850480113</v>
      </c>
      <c r="F448" s="580">
        <v>46.698828394210857</v>
      </c>
      <c r="G448" s="580">
        <v>67.498672331386103</v>
      </c>
      <c r="H448" s="580">
        <v>59.73189415041783</v>
      </c>
      <c r="I448" s="580">
        <v>71.027216856892025</v>
      </c>
      <c r="J448" s="580">
        <v>78.091050181065711</v>
      </c>
      <c r="K448" s="580">
        <v>57.590759075907613</v>
      </c>
      <c r="L448" s="581">
        <v>64.058150324775752</v>
      </c>
      <c r="M448" s="580">
        <v>48.984565393988632</v>
      </c>
      <c r="N448" s="580">
        <v>53.642154826201391</v>
      </c>
    </row>
    <row r="449" spans="1:14" ht="14">
      <c r="A449" s="239"/>
      <c r="B449" s="573" t="s">
        <v>109</v>
      </c>
      <c r="C449" s="581">
        <v>50</v>
      </c>
      <c r="D449" s="580">
        <v>52.82425172678434</v>
      </c>
      <c r="E449" s="580">
        <v>58.713550600343048</v>
      </c>
      <c r="F449" s="580">
        <v>70.828954282711507</v>
      </c>
      <c r="G449" s="580">
        <v>61.216188732967268</v>
      </c>
      <c r="H449" s="580">
        <v>50</v>
      </c>
      <c r="I449" s="580">
        <v>66.576964477933274</v>
      </c>
      <c r="J449" s="580">
        <v>50.489596083231334</v>
      </c>
      <c r="K449" s="580">
        <v>57.924836601307213</v>
      </c>
      <c r="L449" s="581">
        <v>62.667910447761187</v>
      </c>
      <c r="M449" s="580">
        <v>83.195364238410605</v>
      </c>
      <c r="N449" s="580">
        <v>69.089433293978743</v>
      </c>
    </row>
    <row r="450" spans="1:14" ht="14">
      <c r="A450" s="239"/>
      <c r="B450" s="573" t="s">
        <v>110</v>
      </c>
      <c r="C450" s="581">
        <v>50</v>
      </c>
      <c r="D450" s="580">
        <v>55.14521598112929</v>
      </c>
      <c r="E450" s="580">
        <v>61.788908765652963</v>
      </c>
      <c r="F450" s="580">
        <v>55.663041943228357</v>
      </c>
      <c r="G450" s="580">
        <v>64.551351351351357</v>
      </c>
      <c r="H450" s="580">
        <v>59.879389854558347</v>
      </c>
      <c r="I450" s="580">
        <v>74.56852791878174</v>
      </c>
      <c r="J450" s="580">
        <v>80.722154222766221</v>
      </c>
      <c r="K450" s="580">
        <v>57.911908646003283</v>
      </c>
      <c r="L450" s="581">
        <v>68.705187684521306</v>
      </c>
      <c r="M450" s="580">
        <v>57.192307692307708</v>
      </c>
      <c r="N450" s="580">
        <v>63.655693810048817</v>
      </c>
    </row>
    <row r="451" spans="1:14" ht="14">
      <c r="A451" s="239"/>
      <c r="B451" s="573" t="s">
        <v>117</v>
      </c>
      <c r="C451" s="581">
        <v>50</v>
      </c>
      <c r="D451" s="580">
        <v>51.331662227792577</v>
      </c>
      <c r="E451" s="580">
        <v>61.094224924012153</v>
      </c>
      <c r="F451" s="580">
        <v>67.704088801461296</v>
      </c>
      <c r="G451" s="580">
        <v>62.497358968941469</v>
      </c>
      <c r="H451" s="580">
        <v>59.601386481802429</v>
      </c>
      <c r="I451" s="580">
        <v>74.656810982048583</v>
      </c>
      <c r="J451" s="580">
        <v>54.426764585883319</v>
      </c>
      <c r="K451" s="580">
        <v>62.998405103668283</v>
      </c>
      <c r="L451" s="581">
        <v>73.113598673300146</v>
      </c>
      <c r="M451" s="580">
        <v>83.557611438183358</v>
      </c>
      <c r="N451" s="580">
        <v>46.149265581579982</v>
      </c>
    </row>
    <row r="452" spans="1:14" ht="14">
      <c r="A452" s="239"/>
      <c r="B452" s="573" t="s">
        <v>112</v>
      </c>
      <c r="C452" s="581">
        <v>50</v>
      </c>
      <c r="D452" s="580">
        <v>60.113237016790301</v>
      </c>
      <c r="E452" s="580">
        <v>57.644370585791442</v>
      </c>
      <c r="F452" s="580">
        <v>57.253351667239599</v>
      </c>
      <c r="G452" s="580">
        <v>50.28382213812678</v>
      </c>
      <c r="H452" s="580">
        <v>60.683760683760717</v>
      </c>
      <c r="I452" s="580">
        <v>62.460401267159462</v>
      </c>
      <c r="J452" s="580">
        <v>50</v>
      </c>
      <c r="K452" s="580">
        <v>50</v>
      </c>
      <c r="L452" s="581">
        <v>57.37373737373737</v>
      </c>
      <c r="M452" s="580">
        <v>50</v>
      </c>
      <c r="N452" s="580">
        <v>49.508476991024359</v>
      </c>
    </row>
    <row r="453" spans="1:14" ht="14">
      <c r="A453" s="239"/>
      <c r="B453" s="573" t="s">
        <v>113</v>
      </c>
      <c r="C453" s="581">
        <v>50</v>
      </c>
      <c r="D453" s="580">
        <v>65.851017756604563</v>
      </c>
      <c r="E453" s="580">
        <v>50.301525363604107</v>
      </c>
      <c r="F453" s="580">
        <v>54.1498508510265</v>
      </c>
      <c r="G453" s="580">
        <v>55.438915523226989</v>
      </c>
      <c r="H453" s="580">
        <v>66.410256410256437</v>
      </c>
      <c r="I453" s="580">
        <v>39.501915708812277</v>
      </c>
      <c r="J453" s="580">
        <v>50</v>
      </c>
      <c r="K453" s="580">
        <v>47.190082644628099</v>
      </c>
      <c r="L453" s="581">
        <v>50.021150592216578</v>
      </c>
      <c r="M453" s="580">
        <v>71.818181818181856</v>
      </c>
      <c r="N453" s="580">
        <v>48.942122748732288</v>
      </c>
    </row>
    <row r="454" spans="1:14" ht="14">
      <c r="A454" s="239"/>
      <c r="B454" s="573" t="s">
        <v>114</v>
      </c>
      <c r="C454" s="581">
        <v>50</v>
      </c>
      <c r="D454" s="580">
        <v>58.594399778209038</v>
      </c>
      <c r="E454" s="580">
        <v>52.679760319573901</v>
      </c>
      <c r="F454" s="580">
        <v>52.854122621564478</v>
      </c>
      <c r="G454" s="580">
        <v>57.351951547779272</v>
      </c>
      <c r="H454" s="580">
        <v>39.514866979655693</v>
      </c>
      <c r="I454" s="580">
        <v>52.527254707631322</v>
      </c>
      <c r="J454" s="580">
        <v>48.670886075949369</v>
      </c>
      <c r="K454" s="580">
        <v>59.147424511545303</v>
      </c>
      <c r="L454" s="581">
        <v>64.993122420907852</v>
      </c>
      <c r="M454" s="580">
        <v>50</v>
      </c>
      <c r="N454" s="580">
        <v>52.359764818051801</v>
      </c>
    </row>
    <row r="455" spans="1:14" ht="14">
      <c r="A455" s="239"/>
      <c r="B455" s="573" t="s">
        <v>115</v>
      </c>
      <c r="C455" s="581">
        <v>50</v>
      </c>
      <c r="D455" s="580">
        <v>80.204509701101202</v>
      </c>
      <c r="E455" s="580">
        <v>52.191641182466867</v>
      </c>
      <c r="F455" s="580">
        <v>61.675824175824182</v>
      </c>
      <c r="G455" s="580">
        <v>57.52557233317097</v>
      </c>
      <c r="H455" s="580">
        <v>62.989045383411558</v>
      </c>
      <c r="I455" s="580">
        <v>55.616174582798457</v>
      </c>
      <c r="J455" s="580">
        <v>50</v>
      </c>
      <c r="K455" s="580">
        <v>70.306513409961639</v>
      </c>
      <c r="L455" s="581">
        <v>68.437152391546164</v>
      </c>
      <c r="M455" s="580">
        <v>50</v>
      </c>
      <c r="N455" s="580">
        <v>63.751251251251247</v>
      </c>
    </row>
    <row r="456" spans="1:14" ht="14">
      <c r="A456" s="240"/>
      <c r="B456" s="574" t="s">
        <v>116</v>
      </c>
      <c r="C456" s="583">
        <v>50</v>
      </c>
      <c r="D456" s="582">
        <v>51.435656486557043</v>
      </c>
      <c r="E456" s="588">
        <v>57.070542129327237</v>
      </c>
      <c r="F456" s="592">
        <v>69.266549817985691</v>
      </c>
      <c r="G456" s="582">
        <v>60.091522157996152</v>
      </c>
      <c r="H456" s="588">
        <v>57.732342007434951</v>
      </c>
      <c r="I456" s="592">
        <v>59.405940594059409</v>
      </c>
      <c r="J456" s="592">
        <v>50</v>
      </c>
      <c r="K456" s="592">
        <v>16.924398625429578</v>
      </c>
      <c r="L456" s="592">
        <v>64.778401997503124</v>
      </c>
      <c r="M456" s="582">
        <v>64.657079646017692</v>
      </c>
      <c r="N456" s="583">
        <v>71.328671328671334</v>
      </c>
    </row>
    <row r="457" spans="1:14" ht="14">
      <c r="A457" s="238">
        <v>2022</v>
      </c>
      <c r="B457" s="575" t="s">
        <v>105</v>
      </c>
      <c r="C457" s="578">
        <v>50</v>
      </c>
      <c r="D457" s="578">
        <v>55.205709487825359</v>
      </c>
      <c r="E457" s="578">
        <v>55.831597738768217</v>
      </c>
      <c r="F457" s="578">
        <v>60.720322454817307</v>
      </c>
      <c r="G457" s="578">
        <v>67.828139754485363</v>
      </c>
      <c r="H457" s="578">
        <v>64.848484848484816</v>
      </c>
      <c r="I457" s="578">
        <v>52.958093672966328</v>
      </c>
      <c r="J457" s="578">
        <v>59.208185053380767</v>
      </c>
      <c r="K457" s="578">
        <v>64.308943089430883</v>
      </c>
      <c r="L457" s="578">
        <v>77.260726072607298</v>
      </c>
      <c r="M457" s="578">
        <v>50</v>
      </c>
      <c r="N457" s="578">
        <v>67.001675041876041</v>
      </c>
    </row>
    <row r="458" spans="1:14" ht="14">
      <c r="A458" s="239"/>
      <c r="B458" s="576" t="s">
        <v>106</v>
      </c>
      <c r="C458" s="580">
        <v>50</v>
      </c>
      <c r="D458" s="580">
        <v>58.17983519146874</v>
      </c>
      <c r="E458" s="580">
        <v>57.365396249243801</v>
      </c>
      <c r="F458" s="580">
        <v>61.403396756480653</v>
      </c>
      <c r="G458" s="580">
        <v>60.714285714285722</v>
      </c>
      <c r="H458" s="580">
        <v>55.898764447987247</v>
      </c>
      <c r="I458" s="580">
        <v>52.623906705539369</v>
      </c>
      <c r="J458" s="580">
        <v>60.965302491103188</v>
      </c>
      <c r="K458" s="580">
        <v>61.084142394822003</v>
      </c>
      <c r="L458" s="580">
        <v>56.90382081686429</v>
      </c>
      <c r="M458" s="580">
        <v>51.22850122850123</v>
      </c>
      <c r="N458" s="580">
        <v>81.189957730242085</v>
      </c>
    </row>
    <row r="459" spans="1:14" ht="14">
      <c r="A459" s="239"/>
      <c r="B459" s="576" t="s">
        <v>107</v>
      </c>
      <c r="C459" s="580">
        <v>50</v>
      </c>
      <c r="D459" s="580">
        <v>56.443873179091689</v>
      </c>
      <c r="E459" s="580">
        <v>60.848240046162722</v>
      </c>
      <c r="F459" s="580">
        <v>66.95490222163096</v>
      </c>
      <c r="G459" s="580">
        <v>64.456751913992505</v>
      </c>
      <c r="H459" s="580">
        <v>58.683333333333337</v>
      </c>
      <c r="I459" s="580">
        <v>52.102102102102087</v>
      </c>
      <c r="J459" s="580">
        <v>64.32384341637011</v>
      </c>
      <c r="K459" s="580">
        <v>58.728813559322013</v>
      </c>
      <c r="L459" s="580">
        <v>62.173444653918679</v>
      </c>
      <c r="M459" s="580">
        <v>58.062709966405372</v>
      </c>
      <c r="N459" s="580">
        <v>81.419287585353288</v>
      </c>
    </row>
    <row r="460" spans="1:14" ht="14">
      <c r="A460" s="239"/>
      <c r="B460" s="576" t="s">
        <v>108</v>
      </c>
      <c r="C460" s="580">
        <v>50</v>
      </c>
      <c r="D460" s="580">
        <v>58.314144640678528</v>
      </c>
      <c r="E460" s="580">
        <v>58.618715035944128</v>
      </c>
      <c r="F460" s="580">
        <v>62.941802780553559</v>
      </c>
      <c r="G460" s="580">
        <v>66.199490083193794</v>
      </c>
      <c r="H460" s="580">
        <v>57.574344312507883</v>
      </c>
      <c r="I460" s="580">
        <v>59.705713404835251</v>
      </c>
      <c r="J460" s="580">
        <v>51.719624771837168</v>
      </c>
      <c r="K460" s="580">
        <v>51.95310622911677</v>
      </c>
      <c r="L460" s="580">
        <v>73.911570460971689</v>
      </c>
      <c r="M460" s="580">
        <v>51.184008040616689</v>
      </c>
      <c r="N460" s="580">
        <v>61.577768864991477</v>
      </c>
    </row>
    <row r="461" spans="1:14" ht="14">
      <c r="A461" s="239"/>
      <c r="B461" s="576" t="s">
        <v>109</v>
      </c>
      <c r="C461" s="580">
        <v>50</v>
      </c>
      <c r="D461" s="580">
        <v>57.437709185570839</v>
      </c>
      <c r="E461" s="580">
        <v>65.253288553036668</v>
      </c>
      <c r="F461" s="580">
        <v>59.415956228527797</v>
      </c>
      <c r="G461" s="580">
        <v>74.670461354104248</v>
      </c>
      <c r="H461" s="580">
        <v>54.253308128544433</v>
      </c>
      <c r="I461" s="580">
        <v>58.633633633633643</v>
      </c>
      <c r="J461" s="580">
        <v>50.533807829181491</v>
      </c>
      <c r="K461" s="580">
        <v>51.575456053068002</v>
      </c>
      <c r="L461" s="580">
        <v>74.132450331125852</v>
      </c>
      <c r="M461" s="580">
        <v>59.411276948590377</v>
      </c>
      <c r="N461" s="580">
        <v>84.422570079484856</v>
      </c>
    </row>
    <row r="462" spans="1:14" ht="14">
      <c r="A462" s="239"/>
      <c r="B462" s="576" t="s">
        <v>110</v>
      </c>
      <c r="C462" s="580">
        <v>50</v>
      </c>
      <c r="D462" s="580">
        <v>57.961165048543677</v>
      </c>
      <c r="E462" s="580">
        <v>64.067547723935391</v>
      </c>
      <c r="F462" s="580">
        <v>71.260493513100982</v>
      </c>
      <c r="G462" s="580">
        <v>67.307692307692307</v>
      </c>
      <c r="H462" s="580">
        <v>55.385532591414943</v>
      </c>
      <c r="I462" s="580">
        <v>65.081120943952797</v>
      </c>
      <c r="J462" s="580">
        <v>67.637900355871892</v>
      </c>
      <c r="K462" s="580">
        <v>50.821355236139631</v>
      </c>
      <c r="L462" s="580">
        <v>66.666666666666686</v>
      </c>
      <c r="M462" s="580">
        <v>52.406902815622161</v>
      </c>
      <c r="N462" s="580">
        <v>66.358442243888646</v>
      </c>
    </row>
    <row r="463" spans="1:14" ht="14">
      <c r="A463" s="239"/>
      <c r="B463" s="576" t="s">
        <v>117</v>
      </c>
      <c r="C463" s="580">
        <v>50</v>
      </c>
      <c r="D463" s="580">
        <v>57.232862903225801</v>
      </c>
      <c r="E463" s="580">
        <v>63.346043851286943</v>
      </c>
      <c r="F463" s="580">
        <v>68.409554325662683</v>
      </c>
      <c r="G463" s="580">
        <v>74.667201283079407</v>
      </c>
      <c r="H463" s="580">
        <v>87.415329768270936</v>
      </c>
      <c r="I463" s="580">
        <v>70.638297872340416</v>
      </c>
      <c r="J463" s="580">
        <v>54.701166180758023</v>
      </c>
      <c r="K463" s="580">
        <v>53.34728033472804</v>
      </c>
      <c r="L463" s="580">
        <v>81.390728476821209</v>
      </c>
      <c r="M463" s="580">
        <v>50</v>
      </c>
      <c r="N463" s="580">
        <v>60.505426888557743</v>
      </c>
    </row>
    <row r="464" spans="1:14" ht="14">
      <c r="A464" s="239"/>
      <c r="B464" s="576" t="s">
        <v>112</v>
      </c>
      <c r="C464" s="580">
        <v>50</v>
      </c>
      <c r="D464" s="580">
        <v>57.805680302488383</v>
      </c>
      <c r="E464" s="580">
        <v>62.517787069887113</v>
      </c>
      <c r="F464" s="580">
        <v>76.352461938466348</v>
      </c>
      <c r="G464" s="580">
        <v>66.241189965247457</v>
      </c>
      <c r="H464" s="580">
        <v>59.047405975954497</v>
      </c>
      <c r="I464" s="580">
        <v>52.325937705628441</v>
      </c>
      <c r="J464" s="580">
        <v>50.811093164610988</v>
      </c>
      <c r="K464" s="580">
        <v>53.880147168632988</v>
      </c>
      <c r="L464" s="580">
        <v>69.948734181009826</v>
      </c>
      <c r="M464" s="580">
        <v>56.485087956909297</v>
      </c>
      <c r="N464" s="580">
        <v>71.066895737445407</v>
      </c>
    </row>
    <row r="465" spans="1:14" ht="14">
      <c r="A465" s="239"/>
      <c r="B465" s="576" t="s">
        <v>113</v>
      </c>
      <c r="C465" s="580">
        <v>50</v>
      </c>
      <c r="D465" s="580">
        <v>51.329923273657293</v>
      </c>
      <c r="E465" s="580">
        <v>55.544800884955762</v>
      </c>
      <c r="F465" s="580">
        <v>71.501233045622698</v>
      </c>
      <c r="G465" s="580">
        <v>56.105324074074083</v>
      </c>
      <c r="H465" s="580">
        <v>51.09114249037227</v>
      </c>
      <c r="I465" s="580">
        <v>57.554179566563469</v>
      </c>
      <c r="J465" s="580">
        <v>48.287366548042712</v>
      </c>
      <c r="K465" s="580">
        <v>61.139896373056978</v>
      </c>
      <c r="L465" s="580">
        <v>58.199614890885783</v>
      </c>
      <c r="M465" s="580">
        <v>48.02827380952381</v>
      </c>
      <c r="N465" s="580">
        <v>52.49460103230723</v>
      </c>
    </row>
    <row r="466" spans="1:14" ht="14">
      <c r="A466" s="239"/>
      <c r="B466" s="576" t="s">
        <v>114</v>
      </c>
      <c r="C466" s="580">
        <v>50</v>
      </c>
      <c r="D466" s="580">
        <v>79.414790996784575</v>
      </c>
      <c r="E466" s="580">
        <v>66.530834012496612</v>
      </c>
      <c r="F466" s="580">
        <v>55.998182368979101</v>
      </c>
      <c r="G466" s="580">
        <v>67.969661610268375</v>
      </c>
      <c r="H466" s="580">
        <v>50.837988826815653</v>
      </c>
      <c r="I466" s="580">
        <v>57.346241457858767</v>
      </c>
      <c r="J466" s="580">
        <v>50</v>
      </c>
      <c r="K466" s="580">
        <v>84.067085953878404</v>
      </c>
      <c r="L466" s="580">
        <v>72.046162077333179</v>
      </c>
      <c r="M466" s="580">
        <v>56.035139309655897</v>
      </c>
      <c r="N466" s="580">
        <v>56.62553365738831</v>
      </c>
    </row>
    <row r="467" spans="1:14" ht="14">
      <c r="A467" s="239"/>
      <c r="B467" s="576" t="s">
        <v>115</v>
      </c>
      <c r="C467" s="580">
        <v>50</v>
      </c>
      <c r="D467" s="580">
        <v>78.08800823468863</v>
      </c>
      <c r="E467" s="580">
        <v>58.237207926648921</v>
      </c>
      <c r="F467" s="580">
        <v>54.462145777527141</v>
      </c>
      <c r="G467" s="580">
        <v>51.734471485652023</v>
      </c>
      <c r="H467" s="580">
        <v>58.692052980132452</v>
      </c>
      <c r="I467" s="580">
        <v>72.492732558139522</v>
      </c>
      <c r="J467" s="580">
        <v>50.13358778625954</v>
      </c>
      <c r="K467" s="580">
        <v>78.938053097345147</v>
      </c>
      <c r="L467" s="580">
        <v>58.83002775795169</v>
      </c>
      <c r="M467" s="580">
        <v>63.794390364874502</v>
      </c>
      <c r="N467" s="580">
        <v>74.871302075607446</v>
      </c>
    </row>
    <row r="468" spans="1:14" ht="14">
      <c r="A468" s="240"/>
      <c r="B468" s="577" t="s">
        <v>116</v>
      </c>
      <c r="C468" s="582">
        <v>50</v>
      </c>
      <c r="D468" s="582">
        <v>70.368879946344734</v>
      </c>
      <c r="E468" s="582">
        <v>64.906067138897427</v>
      </c>
      <c r="F468" s="582">
        <v>63.84210526315789</v>
      </c>
      <c r="G468" s="582">
        <v>63.566821658917057</v>
      </c>
      <c r="H468" s="582">
        <v>51.102646351242981</v>
      </c>
      <c r="I468" s="582">
        <v>59.59110042092604</v>
      </c>
      <c r="J468" s="582">
        <v>52.519083969465647</v>
      </c>
      <c r="K468" s="582">
        <v>61.149825783972098</v>
      </c>
      <c r="L468" s="582">
        <v>77.477332132686982</v>
      </c>
      <c r="M468" s="582">
        <v>88.401639344262293</v>
      </c>
      <c r="N468" s="582">
        <v>53.147250877561497</v>
      </c>
    </row>
    <row r="469" spans="1:14" ht="14">
      <c r="A469" s="238">
        <v>2023</v>
      </c>
      <c r="B469" s="572" t="s">
        <v>105</v>
      </c>
      <c r="C469" s="578">
        <v>50</v>
      </c>
      <c r="D469" s="578">
        <v>71.0863020572002</v>
      </c>
      <c r="E469" s="578">
        <v>68.435282189929012</v>
      </c>
      <c r="F469" s="578">
        <v>78.901115696163856</v>
      </c>
      <c r="G469" s="578">
        <v>62.459016393442617</v>
      </c>
      <c r="H469" s="578">
        <v>55.92893835616438</v>
      </c>
      <c r="I469" s="578">
        <v>54.601605929586157</v>
      </c>
      <c r="J469" s="578">
        <v>52.532617037605533</v>
      </c>
      <c r="K469" s="578">
        <v>50</v>
      </c>
      <c r="L469" s="578">
        <v>68.383219108701979</v>
      </c>
      <c r="M469" s="578">
        <v>53.799740138764527</v>
      </c>
      <c r="N469" s="578">
        <v>64.287254279536</v>
      </c>
    </row>
    <row r="470" spans="1:14" ht="14">
      <c r="A470" s="239"/>
      <c r="B470" s="576" t="s">
        <v>106</v>
      </c>
      <c r="C470" s="580">
        <v>50</v>
      </c>
      <c r="D470" s="580">
        <v>79.254874651810582</v>
      </c>
      <c r="E470" s="580">
        <v>63.037469287469257</v>
      </c>
      <c r="F470" s="580">
        <v>79.198250728862988</v>
      </c>
      <c r="G470" s="580">
        <v>65.222686151704934</v>
      </c>
      <c r="H470" s="580">
        <v>84.017651573292397</v>
      </c>
      <c r="I470" s="580">
        <v>54.017305315203963</v>
      </c>
      <c r="J470" s="580">
        <v>70.548733691481189</v>
      </c>
      <c r="K470" s="580">
        <v>41.8402777777778</v>
      </c>
      <c r="L470" s="580">
        <v>69.045635176605259</v>
      </c>
      <c r="M470" s="580">
        <v>57.1587206063463</v>
      </c>
      <c r="N470" s="580">
        <v>60.854026680586017</v>
      </c>
    </row>
    <row r="471" spans="1:14" ht="14">
      <c r="A471" s="239"/>
      <c r="B471" s="576" t="s">
        <v>107</v>
      </c>
      <c r="C471" s="580">
        <v>50</v>
      </c>
      <c r="D471" s="580">
        <v>70.74134470647266</v>
      </c>
      <c r="E471" s="580">
        <v>65.343759221009165</v>
      </c>
      <c r="F471" s="580">
        <v>65.903456322006704</v>
      </c>
      <c r="G471" s="580">
        <v>68.911048358630424</v>
      </c>
      <c r="H471" s="580">
        <v>56.013894919669987</v>
      </c>
      <c r="I471" s="580">
        <v>54.628002343292323</v>
      </c>
      <c r="J471" s="580">
        <v>68.016116653875656</v>
      </c>
      <c r="K471" s="580">
        <v>50.307377049180317</v>
      </c>
      <c r="L471" s="580">
        <v>62.988658400900917</v>
      </c>
      <c r="M471" s="580">
        <v>57.115641136674718</v>
      </c>
      <c r="N471" s="580">
        <v>62.571471072884847</v>
      </c>
    </row>
    <row r="472" spans="1:14" ht="14">
      <c r="A472" s="239"/>
      <c r="B472" s="576" t="s">
        <v>108</v>
      </c>
      <c r="C472" s="580">
        <v>50</v>
      </c>
      <c r="D472" s="580">
        <v>57.050444328280193</v>
      </c>
      <c r="E472" s="580">
        <v>63.168584969532851</v>
      </c>
      <c r="F472" s="580">
        <v>58.347417840375577</v>
      </c>
      <c r="G472" s="580">
        <v>63.572184962936817</v>
      </c>
      <c r="H472" s="580">
        <v>56.09046126287506</v>
      </c>
      <c r="I472" s="580">
        <v>56.253704801422643</v>
      </c>
      <c r="J472" s="580">
        <v>50</v>
      </c>
      <c r="K472" s="580">
        <v>59.888059701492523</v>
      </c>
      <c r="L472" s="580">
        <v>57.173657389259112</v>
      </c>
      <c r="M472" s="580">
        <v>51.045884030544933</v>
      </c>
      <c r="N472" s="580">
        <v>60.070348582025147</v>
      </c>
    </row>
    <row r="473" spans="1:14" ht="14">
      <c r="A473" s="239"/>
      <c r="B473" s="576" t="s">
        <v>109</v>
      </c>
      <c r="C473" s="580">
        <v>50</v>
      </c>
      <c r="D473" s="580">
        <v>50</v>
      </c>
      <c r="E473" s="580">
        <v>65.639400921658989</v>
      </c>
      <c r="F473" s="580">
        <v>55.834378920953583</v>
      </c>
      <c r="G473" s="580">
        <v>64.505359339307674</v>
      </c>
      <c r="H473" s="580">
        <v>88.751814223512341</v>
      </c>
      <c r="I473" s="580">
        <v>53.629274145170967</v>
      </c>
      <c r="J473" s="580">
        <v>50</v>
      </c>
      <c r="K473" s="580">
        <v>50</v>
      </c>
      <c r="L473" s="580">
        <v>60.359073487193903</v>
      </c>
      <c r="M473" s="580">
        <v>60.299512591992688</v>
      </c>
      <c r="N473" s="580">
        <v>63.690813633470768</v>
      </c>
    </row>
    <row r="474" spans="1:14" ht="14">
      <c r="A474" s="239"/>
      <c r="B474" s="576" t="s">
        <v>110</v>
      </c>
      <c r="C474" s="580">
        <v>50</v>
      </c>
      <c r="D474" s="580">
        <v>83.108859251609942</v>
      </c>
      <c r="E474" s="580">
        <v>61.478362930232983</v>
      </c>
      <c r="F474" s="580">
        <v>63.079925108723742</v>
      </c>
      <c r="G474" s="580">
        <v>60.697756618489322</v>
      </c>
      <c r="H474" s="580">
        <v>58.51516540460922</v>
      </c>
      <c r="I474" s="580">
        <v>51.524477329062442</v>
      </c>
      <c r="J474" s="580">
        <v>51.600069172392743</v>
      </c>
      <c r="K474" s="580">
        <v>60.269714552659899</v>
      </c>
      <c r="L474" s="580">
        <v>59.942047200550583</v>
      </c>
      <c r="M474" s="580">
        <v>46.363469178025497</v>
      </c>
      <c r="N474" s="580">
        <v>66.677251128495243</v>
      </c>
    </row>
    <row r="475" spans="1:14" ht="14">
      <c r="A475" s="239"/>
      <c r="B475" s="576" t="s">
        <v>117</v>
      </c>
      <c r="C475" s="580">
        <v>50</v>
      </c>
      <c r="D475" s="580">
        <v>86.843798250128671</v>
      </c>
      <c r="E475" s="580">
        <v>67.565242328649248</v>
      </c>
      <c r="F475" s="580">
        <v>60.632004981320051</v>
      </c>
      <c r="G475" s="580">
        <v>58.309703843730318</v>
      </c>
      <c r="H475" s="580">
        <v>56.344480073293632</v>
      </c>
      <c r="I475" s="580">
        <v>57.076719576719583</v>
      </c>
      <c r="J475" s="580">
        <v>52.95471987720645</v>
      </c>
      <c r="K475" s="580">
        <v>59.772296015180252</v>
      </c>
      <c r="L475" s="580">
        <v>62.588191607872261</v>
      </c>
      <c r="M475" s="580">
        <v>78.984457336004454</v>
      </c>
      <c r="N475" s="580">
        <v>60.787693939795822</v>
      </c>
    </row>
    <row r="476" spans="1:14" ht="14">
      <c r="A476" s="239"/>
      <c r="B476" s="576" t="s">
        <v>112</v>
      </c>
      <c r="C476" s="580">
        <v>50</v>
      </c>
      <c r="D476" s="580">
        <v>64.520547945205479</v>
      </c>
      <c r="E476" s="580">
        <v>55.221058755090169</v>
      </c>
      <c r="F476" s="580">
        <v>65.327914025902473</v>
      </c>
      <c r="G476" s="580">
        <v>56.559971860710519</v>
      </c>
      <c r="H476" s="580">
        <v>77.823161941374323</v>
      </c>
      <c r="I476" s="580">
        <v>49.969287469287472</v>
      </c>
      <c r="J476" s="580">
        <v>50</v>
      </c>
      <c r="K476" s="580">
        <v>60.207612456747377</v>
      </c>
      <c r="L476" s="580">
        <v>56.714417697073493</v>
      </c>
      <c r="M476" s="580">
        <v>54.412178513140873</v>
      </c>
      <c r="N476" s="580">
        <v>67.744722873719297</v>
      </c>
    </row>
    <row r="477" spans="1:14" ht="14">
      <c r="A477" s="239"/>
      <c r="B477" s="576" t="s">
        <v>113</v>
      </c>
      <c r="C477" s="580">
        <v>50</v>
      </c>
      <c r="D477" s="580">
        <v>52.527499691014697</v>
      </c>
      <c r="E477" s="580">
        <v>64.817339149400226</v>
      </c>
      <c r="F477" s="580">
        <v>66.526610644257715</v>
      </c>
      <c r="G477" s="580">
        <v>55.168319597709171</v>
      </c>
      <c r="H477" s="580">
        <v>57.230559345156891</v>
      </c>
      <c r="I477" s="580">
        <v>55.697745277269959</v>
      </c>
      <c r="J477" s="580">
        <v>50</v>
      </c>
      <c r="K477" s="580">
        <v>51.493848857644998</v>
      </c>
      <c r="L477" s="580">
        <v>51.530612244897959</v>
      </c>
      <c r="M477" s="580">
        <v>50</v>
      </c>
      <c r="N477" s="580">
        <v>52.803424820895842</v>
      </c>
    </row>
    <row r="478" spans="1:14" ht="14">
      <c r="A478" s="239"/>
      <c r="B478" s="576" t="s">
        <v>114</v>
      </c>
      <c r="C478" s="580">
        <v>50</v>
      </c>
      <c r="D478" s="580">
        <v>52.990822278404707</v>
      </c>
      <c r="E478" s="580">
        <v>54.846929206065937</v>
      </c>
      <c r="F478" s="580">
        <v>64.739940558546934</v>
      </c>
      <c r="G478" s="580">
        <v>53.382300943470149</v>
      </c>
      <c r="H478" s="580">
        <v>50.253260017809943</v>
      </c>
      <c r="I478" s="580">
        <v>51.132423033998393</v>
      </c>
      <c r="J478" s="580">
        <v>50</v>
      </c>
      <c r="K478" s="580">
        <v>50</v>
      </c>
      <c r="L478" s="580">
        <v>64.681425341573942</v>
      </c>
      <c r="M478" s="580">
        <v>50.06518229985339</v>
      </c>
      <c r="N478" s="580">
        <v>46.91031126714627</v>
      </c>
    </row>
    <row r="479" spans="1:14" ht="14">
      <c r="A479" s="239"/>
      <c r="B479" s="576" t="s">
        <v>115</v>
      </c>
      <c r="C479" s="580">
        <v>50</v>
      </c>
      <c r="D479" s="580">
        <v>57.508400103385902</v>
      </c>
      <c r="E479" s="580">
        <v>58.083496777808911</v>
      </c>
      <c r="F479" s="580">
        <v>55.213635662501922</v>
      </c>
      <c r="G479" s="580">
        <v>54.957093299251419</v>
      </c>
      <c r="H479" s="580">
        <v>54.62768195204039</v>
      </c>
      <c r="I479" s="580">
        <v>49.260628465804068</v>
      </c>
      <c r="J479" s="580">
        <v>68.323100537221791</v>
      </c>
      <c r="K479" s="580">
        <v>53.631284916201118</v>
      </c>
      <c r="L479" s="580">
        <v>67.13336150985414</v>
      </c>
      <c r="M479" s="580">
        <v>50</v>
      </c>
      <c r="N479" s="580">
        <v>72.600538498210327</v>
      </c>
    </row>
    <row r="480" spans="1:14" ht="14">
      <c r="A480" s="240"/>
      <c r="B480" s="577" t="s">
        <v>116</v>
      </c>
      <c r="C480" s="582">
        <v>50</v>
      </c>
      <c r="D480" s="582">
        <v>61.844303374540587</v>
      </c>
      <c r="E480" s="582">
        <v>53.109172763083883</v>
      </c>
      <c r="F480" s="582">
        <v>73.113815318539736</v>
      </c>
      <c r="G480" s="582">
        <v>53.897978825794027</v>
      </c>
      <c r="H480" s="582">
        <v>50</v>
      </c>
      <c r="I480" s="582">
        <v>57.746913580246918</v>
      </c>
      <c r="J480" s="582">
        <v>52.982184353214564</v>
      </c>
      <c r="K480" s="582">
        <v>79.362101313320835</v>
      </c>
      <c r="L480" s="582">
        <v>52.199816681943169</v>
      </c>
      <c r="M480" s="582">
        <v>50</v>
      </c>
      <c r="N480" s="582">
        <v>62.445985484801497</v>
      </c>
    </row>
    <row r="481" spans="1:14" ht="14">
      <c r="A481" s="238">
        <v>2024</v>
      </c>
      <c r="B481" s="575" t="s">
        <v>105</v>
      </c>
      <c r="C481" s="578">
        <v>50</v>
      </c>
      <c r="D481" s="578">
        <v>63.778957528957548</v>
      </c>
      <c r="E481" s="578">
        <v>54.051724137931032</v>
      </c>
      <c r="F481" s="578">
        <v>54.277823481020093</v>
      </c>
      <c r="G481" s="578">
        <v>65.20098778982026</v>
      </c>
      <c r="H481" s="578">
        <v>58.318223028105173</v>
      </c>
      <c r="I481" s="578">
        <v>50.698486612339927</v>
      </c>
      <c r="J481" s="578">
        <v>52.747252747252737</v>
      </c>
      <c r="K481" s="578">
        <v>53.124999999999993</v>
      </c>
      <c r="L481" s="578">
        <v>70.621729763003984</v>
      </c>
      <c r="M481" s="578">
        <v>74.376920450665779</v>
      </c>
      <c r="N481" s="578">
        <v>69.562996594778653</v>
      </c>
    </row>
    <row r="482" spans="1:14" ht="14">
      <c r="A482" s="239"/>
      <c r="B482" s="576" t="s">
        <v>106</v>
      </c>
      <c r="C482" s="580">
        <v>50</v>
      </c>
      <c r="D482" s="580">
        <v>63.467552775605967</v>
      </c>
      <c r="E482" s="580">
        <v>57.872412623006447</v>
      </c>
      <c r="F482" s="580">
        <v>63.537929267042557</v>
      </c>
      <c r="G482" s="580">
        <v>72.932460372157138</v>
      </c>
      <c r="H482" s="580">
        <v>56.742640075973412</v>
      </c>
      <c r="I482" s="580">
        <v>50.799763033175353</v>
      </c>
      <c r="J482" s="580">
        <v>71.996968548692678</v>
      </c>
      <c r="K482" s="580">
        <v>78.478964401294505</v>
      </c>
      <c r="L482" s="580">
        <v>51.23456790123457</v>
      </c>
      <c r="M482" s="580">
        <v>73.541534559289801</v>
      </c>
      <c r="N482" s="580">
        <v>52.167744864374093</v>
      </c>
    </row>
    <row r="483" spans="1:14" ht="14">
      <c r="A483" s="239"/>
      <c r="B483" s="576" t="s">
        <v>107</v>
      </c>
      <c r="C483" s="580">
        <v>50</v>
      </c>
      <c r="D483" s="580">
        <v>62.805104695824568</v>
      </c>
      <c r="E483" s="580">
        <v>55.90525632706035</v>
      </c>
      <c r="F483" s="580">
        <v>52.784990911451573</v>
      </c>
      <c r="G483" s="580">
        <v>70.483965872315366</v>
      </c>
      <c r="H483" s="580">
        <v>55.843230403800483</v>
      </c>
      <c r="I483" s="580">
        <v>50.743707093821513</v>
      </c>
      <c r="J483" s="580">
        <v>72.35695339143615</v>
      </c>
      <c r="K483" s="580">
        <v>70.000000000000014</v>
      </c>
      <c r="L483" s="580">
        <v>72.164351851851848</v>
      </c>
      <c r="M483" s="580">
        <v>78.571428571428584</v>
      </c>
      <c r="N483" s="580">
        <v>60.373047082580513</v>
      </c>
    </row>
    <row r="484" spans="1:14" ht="14">
      <c r="A484" s="239"/>
      <c r="B484" s="576" t="s">
        <v>108</v>
      </c>
      <c r="C484" s="580">
        <v>50</v>
      </c>
      <c r="D484" s="580">
        <v>64.53537936913898</v>
      </c>
      <c r="E484" s="580">
        <v>55.906313645621182</v>
      </c>
      <c r="F484" s="580">
        <v>63.723472668810302</v>
      </c>
      <c r="G484" s="580">
        <v>55.907172995780591</v>
      </c>
      <c r="H484" s="580">
        <v>50</v>
      </c>
      <c r="I484" s="580">
        <v>50.605326876513317</v>
      </c>
      <c r="J484" s="580">
        <v>51.132300357568532</v>
      </c>
      <c r="K484" s="580">
        <v>54.807692307692307</v>
      </c>
      <c r="L484" s="580">
        <v>50.743555849306013</v>
      </c>
      <c r="M484" s="580">
        <v>79.921528488570459</v>
      </c>
      <c r="N484" s="580">
        <v>60.169870362092077</v>
      </c>
    </row>
    <row r="485" spans="1:14" ht="14">
      <c r="A485" s="239"/>
      <c r="B485" s="576" t="s">
        <v>109</v>
      </c>
      <c r="C485" s="580">
        <v>50</v>
      </c>
      <c r="D485" s="580">
        <v>61.281370656370683</v>
      </c>
      <c r="E485" s="580">
        <v>54.755244755244753</v>
      </c>
      <c r="F485" s="580">
        <v>39.670242352006348</v>
      </c>
      <c r="G485" s="580">
        <v>57.192691029900331</v>
      </c>
      <c r="H485" s="580">
        <v>55.380577427821521</v>
      </c>
      <c r="I485" s="580">
        <v>50.093167701863351</v>
      </c>
      <c r="J485" s="580">
        <v>50</v>
      </c>
      <c r="K485" s="580">
        <v>69.496855345911968</v>
      </c>
      <c r="L485" s="580">
        <v>65.613382899628235</v>
      </c>
      <c r="M485" s="580">
        <v>73.400621118012438</v>
      </c>
      <c r="N485" s="580">
        <v>61.444360982938093</v>
      </c>
    </row>
    <row r="486" spans="1:14" ht="14">
      <c r="A486" s="239"/>
      <c r="B486" s="576" t="s">
        <v>110</v>
      </c>
      <c r="C486" s="580">
        <v>50</v>
      </c>
      <c r="D486" s="580">
        <v>63.506272869837971</v>
      </c>
      <c r="E486" s="580">
        <v>52.92981326464907</v>
      </c>
      <c r="F486" s="580">
        <v>46.132634771818537</v>
      </c>
      <c r="G486" s="580">
        <v>55.318690783807057</v>
      </c>
      <c r="H486" s="580">
        <v>51.662292213473307</v>
      </c>
      <c r="I486" s="580">
        <v>51.007326007326007</v>
      </c>
      <c r="J486" s="580">
        <v>50</v>
      </c>
      <c r="K486" s="580">
        <v>50.773993808049539</v>
      </c>
      <c r="L486" s="580">
        <v>65.626638699528044</v>
      </c>
      <c r="M486" s="580">
        <v>77.845528455284565</v>
      </c>
      <c r="N486" s="580">
        <v>59.5556745182013</v>
      </c>
    </row>
    <row r="487" spans="1:14" ht="14">
      <c r="A487" s="239"/>
      <c r="B487" s="576" t="s">
        <v>117</v>
      </c>
      <c r="C487" s="580">
        <v>50</v>
      </c>
      <c r="D487" s="580">
        <v>63.658301158301192</v>
      </c>
      <c r="E487" s="580">
        <v>55.620689655172413</v>
      </c>
      <c r="F487" s="580">
        <v>49.123255022131417</v>
      </c>
      <c r="G487" s="580">
        <v>60.085616438356162</v>
      </c>
      <c r="H487" s="580">
        <v>56.211723534558182</v>
      </c>
      <c r="I487" s="580">
        <v>52.436125965537727</v>
      </c>
      <c r="J487" s="580">
        <v>70.912012856568893</v>
      </c>
      <c r="K487" s="580">
        <v>71.835443037974699</v>
      </c>
      <c r="L487" s="580">
        <v>65.964831096714477</v>
      </c>
      <c r="M487" s="580">
        <v>77.007168458781379</v>
      </c>
      <c r="N487" s="580">
        <v>53.177213524536249</v>
      </c>
    </row>
    <row r="488" spans="1:14" ht="14">
      <c r="A488" s="239"/>
      <c r="B488" s="576" t="s">
        <v>112</v>
      </c>
      <c r="C488" s="580">
        <v>50</v>
      </c>
      <c r="D488" s="580">
        <v>62.957317073170763</v>
      </c>
      <c r="E488" s="580">
        <v>54.354686020826762</v>
      </c>
      <c r="F488" s="580">
        <v>54.1001831022757</v>
      </c>
      <c r="G488" s="580">
        <v>55.023467292461127</v>
      </c>
      <c r="H488" s="580">
        <v>58.672022684310022</v>
      </c>
      <c r="I488" s="580">
        <v>52.701917489831487</v>
      </c>
      <c r="J488" s="580">
        <v>50</v>
      </c>
      <c r="K488" s="580">
        <v>73.628048780487802</v>
      </c>
      <c r="L488" s="580">
        <v>62.453401677539603</v>
      </c>
      <c r="M488" s="580">
        <v>75.880341880341888</v>
      </c>
      <c r="N488" s="580">
        <v>61.768654211880531</v>
      </c>
    </row>
    <row r="489" spans="1:14" ht="14">
      <c r="A489" s="239"/>
      <c r="B489" s="576" t="s">
        <v>113</v>
      </c>
      <c r="C489" s="580">
        <v>50</v>
      </c>
      <c r="D489" s="580">
        <v>62.481884057971037</v>
      </c>
      <c r="E489" s="580">
        <v>55.170239596469102</v>
      </c>
      <c r="F489" s="580">
        <v>43.162847169524959</v>
      </c>
      <c r="G489" s="580">
        <v>56.050719264422369</v>
      </c>
      <c r="H489" s="580">
        <v>50</v>
      </c>
      <c r="I489" s="580">
        <v>50.739897552646553</v>
      </c>
      <c r="J489" s="580">
        <v>50</v>
      </c>
      <c r="K489" s="580">
        <v>76.462395543175489</v>
      </c>
      <c r="L489" s="580">
        <v>66.365717192268576</v>
      </c>
      <c r="M489" s="580">
        <v>50.247908273938641</v>
      </c>
      <c r="N489" s="580">
        <v>61.720586589051841</v>
      </c>
    </row>
    <row r="490" spans="1:14" ht="14">
      <c r="A490" s="239"/>
      <c r="B490" s="576" t="s">
        <v>114</v>
      </c>
      <c r="C490" s="580">
        <v>50</v>
      </c>
      <c r="D490" s="580">
        <v>63.658301158301192</v>
      </c>
      <c r="E490" s="580">
        <v>55.202742993440673</v>
      </c>
      <c r="F490" s="580">
        <v>36.917611695586821</v>
      </c>
      <c r="G490" s="580">
        <v>54.465493910690121</v>
      </c>
      <c r="H490" s="580">
        <v>54.790856031128413</v>
      </c>
      <c r="I490" s="580">
        <v>51.91627358490566</v>
      </c>
      <c r="J490" s="580">
        <v>50</v>
      </c>
      <c r="K490" s="580">
        <v>72.346368715083813</v>
      </c>
      <c r="L490" s="580">
        <v>70.432813286361352</v>
      </c>
      <c r="M490" s="580">
        <v>74.285270354257307</v>
      </c>
      <c r="N490" s="580">
        <v>49.709553825237933</v>
      </c>
    </row>
    <row r="491" spans="1:14" ht="14">
      <c r="A491" s="239"/>
      <c r="B491" s="576" t="s">
        <v>115</v>
      </c>
      <c r="C491" s="580">
        <v>50</v>
      </c>
      <c r="D491" s="580">
        <v>63.658301158301192</v>
      </c>
      <c r="E491" s="580">
        <v>54.489524442966413</v>
      </c>
      <c r="F491" s="580">
        <v>51.050877867486868</v>
      </c>
      <c r="G491" s="580">
        <v>56.558553386911598</v>
      </c>
      <c r="H491" s="580">
        <v>50</v>
      </c>
      <c r="I491" s="580">
        <v>50.794351279788167</v>
      </c>
      <c r="J491" s="580">
        <v>50</v>
      </c>
      <c r="K491" s="580">
        <v>39.552238805970127</v>
      </c>
      <c r="L491" s="580">
        <v>78.881987577639762</v>
      </c>
      <c r="M491" s="580">
        <v>76.51301900070375</v>
      </c>
      <c r="N491" s="580">
        <v>51.513577682148693</v>
      </c>
    </row>
    <row r="492" spans="1:14" ht="14">
      <c r="A492" s="240"/>
      <c r="B492" s="577" t="s">
        <v>116</v>
      </c>
      <c r="C492" s="582">
        <v>50</v>
      </c>
      <c r="D492" s="582">
        <v>61.696272204153132</v>
      </c>
      <c r="E492" s="582">
        <v>59.844216108717283</v>
      </c>
      <c r="F492" s="582">
        <v>51.510791366906467</v>
      </c>
      <c r="G492" s="582">
        <v>57.344940152339497</v>
      </c>
      <c r="H492" s="582">
        <v>55.982490272373539</v>
      </c>
      <c r="I492" s="582">
        <v>54.099378881987569</v>
      </c>
      <c r="J492" s="582">
        <v>50</v>
      </c>
      <c r="K492" s="582">
        <v>72.064056939501796</v>
      </c>
      <c r="L492" s="582">
        <v>62.385652383245052</v>
      </c>
      <c r="M492" s="582">
        <v>78.447929232006445</v>
      </c>
      <c r="N492" s="582">
        <v>61.207001337060888</v>
      </c>
    </row>
    <row r="493" spans="1:14" ht="14">
      <c r="A493" s="238">
        <v>2025</v>
      </c>
      <c r="B493" s="575" t="s">
        <v>105</v>
      </c>
      <c r="C493" s="578">
        <v>50</v>
      </c>
      <c r="D493" s="578">
        <v>64.935433517808974</v>
      </c>
      <c r="E493" s="578">
        <v>60.814889336016122</v>
      </c>
      <c r="F493" s="578">
        <v>62.451535937965993</v>
      </c>
      <c r="G493" s="578">
        <v>68.040832351786406</v>
      </c>
      <c r="H493" s="578">
        <v>50</v>
      </c>
      <c r="I493" s="578">
        <v>42.759365994236319</v>
      </c>
      <c r="J493" s="578">
        <v>50</v>
      </c>
      <c r="K493" s="578">
        <v>51.851851851851848</v>
      </c>
      <c r="L493" s="578">
        <v>63.569397777203413</v>
      </c>
      <c r="M493" s="578">
        <v>81.716678297278435</v>
      </c>
      <c r="N493" s="578">
        <v>71.670135275754447</v>
      </c>
    </row>
    <row r="494" spans="1:14" ht="14">
      <c r="A494" s="239"/>
      <c r="B494" s="576" t="s">
        <v>106</v>
      </c>
      <c r="C494" s="580">
        <v>50</v>
      </c>
      <c r="D494" s="580">
        <v>64.691513121161336</v>
      </c>
      <c r="E494" s="580">
        <v>59.677419354838733</v>
      </c>
      <c r="F494" s="580">
        <v>56.821839792001967</v>
      </c>
      <c r="G494" s="580">
        <v>77.06302794022092</v>
      </c>
      <c r="H494" s="580">
        <v>49.754683318465659</v>
      </c>
      <c r="I494" s="580">
        <v>55.507131537242472</v>
      </c>
      <c r="J494" s="580">
        <v>50</v>
      </c>
      <c r="K494" s="580">
        <v>50</v>
      </c>
      <c r="L494" s="580">
        <v>55.733600400600892</v>
      </c>
      <c r="M494" s="580">
        <v>77.279102384291718</v>
      </c>
      <c r="N494" s="580">
        <v>35.440034512510763</v>
      </c>
    </row>
    <row r="495" spans="1:14" ht="14">
      <c r="A495" s="239"/>
      <c r="B495" s="576" t="s">
        <v>107</v>
      </c>
      <c r="C495" s="580">
        <v>50</v>
      </c>
      <c r="D495" s="580">
        <v>65.332356467297174</v>
      </c>
      <c r="E495" s="580">
        <v>51.209912536443149</v>
      </c>
      <c r="F495" s="580">
        <v>60.804478000520682</v>
      </c>
      <c r="G495" s="580">
        <v>57.730839873100692</v>
      </c>
      <c r="H495" s="580">
        <v>55.963506898086337</v>
      </c>
      <c r="I495" s="580">
        <v>45.724381625441687</v>
      </c>
      <c r="J495" s="580">
        <v>50</v>
      </c>
      <c r="K495" s="580">
        <v>71.884498480243167</v>
      </c>
      <c r="L495" s="580">
        <v>55.680736274198672</v>
      </c>
      <c r="M495" s="580">
        <v>86.156287187623946</v>
      </c>
      <c r="N495" s="580">
        <v>66.666666666666657</v>
      </c>
    </row>
    <row r="496" spans="1:14" ht="14">
      <c r="A496" s="239"/>
      <c r="B496" s="576" t="s">
        <v>108</v>
      </c>
      <c r="C496" s="580">
        <v>50</v>
      </c>
      <c r="D496" s="580">
        <v>40.187213448802829</v>
      </c>
      <c r="E496" s="580">
        <v>63.722485371969931</v>
      </c>
      <c r="F496" s="580">
        <v>55.120929604107559</v>
      </c>
      <c r="G496" s="580">
        <v>54.280213270142177</v>
      </c>
      <c r="H496" s="580">
        <v>50</v>
      </c>
      <c r="I496" s="580">
        <v>50.700280112044823</v>
      </c>
      <c r="J496" s="580">
        <v>50</v>
      </c>
      <c r="K496" s="580">
        <v>70.245398773006144</v>
      </c>
      <c r="L496" s="580">
        <v>66.817736403723671</v>
      </c>
      <c r="M496" s="580">
        <v>53.838342810722978</v>
      </c>
      <c r="N496" s="580">
        <v>64.782491944146059</v>
      </c>
    </row>
    <row r="497" spans="1:14" ht="14">
      <c r="A497" s="239"/>
      <c r="B497" s="576" t="s">
        <v>109</v>
      </c>
      <c r="C497" s="580">
        <v>50</v>
      </c>
      <c r="D497" s="580">
        <v>63.843219781665127</v>
      </c>
      <c r="E497" s="580">
        <v>62.074554294975712</v>
      </c>
      <c r="F497" s="580">
        <v>49.040912139503689</v>
      </c>
      <c r="G497" s="580">
        <v>62.139185448794002</v>
      </c>
      <c r="H497" s="580">
        <v>49.277304133516282</v>
      </c>
      <c r="I497" s="580">
        <v>50.904977375565608</v>
      </c>
      <c r="J497" s="580">
        <v>51.600297729810187</v>
      </c>
      <c r="K497" s="580">
        <v>53.980891719745223</v>
      </c>
      <c r="L497" s="580">
        <v>59.888579387186638</v>
      </c>
      <c r="M497" s="580">
        <v>75.873907615480661</v>
      </c>
      <c r="N497" s="580">
        <v>66.468421259112276</v>
      </c>
    </row>
    <row r="498" spans="1:14" ht="14">
      <c r="A498" s="239"/>
      <c r="B498" s="576" t="s">
        <v>110</v>
      </c>
      <c r="C498" s="584">
        <v>50</v>
      </c>
      <c r="D498" s="594">
        <v>61.388637246020437</v>
      </c>
      <c r="E498" s="594">
        <v>47.753128555176332</v>
      </c>
      <c r="F498" s="594">
        <v>47.801263362487852</v>
      </c>
      <c r="G498" s="594">
        <v>45.410981156595177</v>
      </c>
      <c r="H498" s="594">
        <v>51.594642093998118</v>
      </c>
      <c r="I498" s="594">
        <v>50.253378378378379</v>
      </c>
      <c r="J498" s="594">
        <v>50.959367945823928</v>
      </c>
      <c r="K498" s="594">
        <v>66.772151898734194</v>
      </c>
      <c r="L498" s="594">
        <v>62.907856956408253</v>
      </c>
      <c r="M498" s="594">
        <v>80.363223609534629</v>
      </c>
      <c r="N498" s="594">
        <v>65.813192883406685</v>
      </c>
    </row>
    <row r="499" spans="1:14" ht="14">
      <c r="A499" s="239"/>
      <c r="B499" s="576" t="s">
        <v>117</v>
      </c>
      <c r="C499" s="584">
        <v>50</v>
      </c>
      <c r="D499" s="594">
        <v>65.170494084899076</v>
      </c>
      <c r="E499" s="594">
        <v>50.759345794392523</v>
      </c>
      <c r="F499" s="594">
        <v>44.911824226655099</v>
      </c>
      <c r="G499" s="594">
        <v>48.085059006902704</v>
      </c>
      <c r="H499" s="594">
        <v>64.326612824515109</v>
      </c>
      <c r="I499" s="594">
        <v>50.042918454935617</v>
      </c>
      <c r="J499" s="594">
        <v>50.913497390007457</v>
      </c>
      <c r="K499" s="594">
        <v>72.51552795031057</v>
      </c>
      <c r="L499" s="594">
        <v>62.277580071174377</v>
      </c>
      <c r="M499" s="594">
        <v>80.041698256254747</v>
      </c>
      <c r="N499" s="594">
        <v>38.151739353881027</v>
      </c>
    </row>
    <row r="500" spans="1:14" ht="14">
      <c r="A500" s="239"/>
      <c r="B500" s="576" t="s">
        <v>112</v>
      </c>
      <c r="C500" s="584">
        <v>50</v>
      </c>
      <c r="D500" s="594">
        <v>39.300097208720992</v>
      </c>
      <c r="E500" s="594">
        <v>52.865697177074424</v>
      </c>
      <c r="F500" s="594">
        <v>62.38284578244815</v>
      </c>
      <c r="G500" s="594">
        <v>57.203907203907207</v>
      </c>
      <c r="H500" s="594">
        <v>51.897138660859852</v>
      </c>
      <c r="I500" s="594">
        <v>51.33868808567604</v>
      </c>
      <c r="J500" s="594">
        <v>49.082397003745321</v>
      </c>
      <c r="K500" s="594">
        <v>30.530973451327419</v>
      </c>
      <c r="L500" s="594">
        <v>54.77239353891337</v>
      </c>
      <c r="M500" s="594">
        <v>82.928770393951453</v>
      </c>
      <c r="N500" s="594">
        <v>51.179706210716127</v>
      </c>
    </row>
    <row r="501" spans="1:14" ht="14">
      <c r="A501" s="239"/>
      <c r="B501" s="576" t="s">
        <v>113</v>
      </c>
      <c r="C501" s="584">
        <v>50</v>
      </c>
      <c r="D501" s="594">
        <v>39.972640218878233</v>
      </c>
      <c r="E501" s="594">
        <v>54.237528344671198</v>
      </c>
      <c r="F501" s="594">
        <v>49.272005294506947</v>
      </c>
      <c r="G501" s="594">
        <v>44.415718717683554</v>
      </c>
      <c r="H501" s="594">
        <v>64.372786325144361</v>
      </c>
      <c r="I501" s="594">
        <v>49.718785151856018</v>
      </c>
      <c r="J501" s="594">
        <v>50.626843657817098</v>
      </c>
      <c r="K501" s="594">
        <v>72.073578595317741</v>
      </c>
      <c r="L501" s="594">
        <v>62.778523489932887</v>
      </c>
      <c r="M501" s="594">
        <v>83.903700756068446</v>
      </c>
      <c r="N501" s="594">
        <v>63.288343780666082</v>
      </c>
    </row>
    <row r="502" spans="1:14" ht="14">
      <c r="A502" s="239"/>
      <c r="B502" s="576" t="s">
        <v>114</v>
      </c>
      <c r="C502" s="584">
        <v>50</v>
      </c>
      <c r="D502" s="594">
        <v>38.740318573724963</v>
      </c>
      <c r="E502" s="594">
        <v>51.41225961538462</v>
      </c>
      <c r="F502" s="594">
        <v>35.273725263614061</v>
      </c>
      <c r="G502" s="594">
        <v>61.917352134743439</v>
      </c>
      <c r="H502" s="594">
        <v>57.507975388469333</v>
      </c>
      <c r="I502" s="594">
        <v>50.697503671071964</v>
      </c>
      <c r="J502" s="594">
        <v>51.403768008865903</v>
      </c>
      <c r="K502" s="594">
        <v>53.846153846153847</v>
      </c>
      <c r="L502" s="594">
        <v>64.815321477428199</v>
      </c>
      <c r="M502" s="594">
        <v>81.548599670510725</v>
      </c>
      <c r="N502" s="594">
        <v>40.130373624382123</v>
      </c>
    </row>
    <row r="503" spans="1:14" ht="14">
      <c r="A503" s="239"/>
      <c r="B503" s="576" t="s">
        <v>115</v>
      </c>
      <c r="C503" s="584">
        <v>50</v>
      </c>
      <c r="D503" s="594">
        <v>38.777908343125731</v>
      </c>
      <c r="E503" s="594">
        <v>52.909090909090907</v>
      </c>
      <c r="F503" s="594">
        <v>39.828571428571429</v>
      </c>
      <c r="G503" s="594">
        <v>61.975642760487148</v>
      </c>
      <c r="H503" s="594">
        <v>62.555066079295159</v>
      </c>
      <c r="I503" s="594">
        <v>51.107828655834567</v>
      </c>
      <c r="J503" s="594">
        <v>50.897571277719123</v>
      </c>
      <c r="K503" s="594">
        <v>75.46948356807512</v>
      </c>
      <c r="L503" s="594">
        <v>52.388289676425273</v>
      </c>
      <c r="M503" s="594">
        <v>81.778058007566202</v>
      </c>
      <c r="N503" s="594">
        <v>50.627615062761507</v>
      </c>
    </row>
    <row r="504" spans="1:14" ht="14">
      <c r="A504" s="240"/>
      <c r="B504" s="577" t="s">
        <v>116</v>
      </c>
      <c r="C504" s="586">
        <v>50</v>
      </c>
      <c r="D504" s="595">
        <v>39.459644322845399</v>
      </c>
      <c r="E504" s="595">
        <v>63.743455497382229</v>
      </c>
      <c r="F504" s="595">
        <v>48.973774230330683</v>
      </c>
      <c r="G504" s="595">
        <v>58.958967926894807</v>
      </c>
      <c r="H504" s="595">
        <v>63.999205783751783</v>
      </c>
      <c r="I504" s="595">
        <v>50.590086546026747</v>
      </c>
      <c r="J504" s="595">
        <v>49.104859335038363</v>
      </c>
      <c r="K504" s="595">
        <v>66.876971608832818</v>
      </c>
      <c r="L504" s="595">
        <v>52.595228128924241</v>
      </c>
      <c r="M504" s="595">
        <v>78.21872713972202</v>
      </c>
      <c r="N504" s="595">
        <v>46.450169690106343</v>
      </c>
    </row>
    <row r="505" spans="1:14" ht="14">
      <c r="A505" s="238">
        <v>2026</v>
      </c>
      <c r="B505" s="575" t="s">
        <v>105</v>
      </c>
      <c r="C505" s="684">
        <v>50</v>
      </c>
      <c r="D505" s="686">
        <v>26.220450412645128</v>
      </c>
      <c r="E505" s="686">
        <v>54.507451835696109</v>
      </c>
      <c r="F505" s="686">
        <v>49.783712619898438</v>
      </c>
      <c r="G505" s="686">
        <v>56.253652834599649</v>
      </c>
      <c r="H505" s="686">
        <v>65.083359547027371</v>
      </c>
      <c r="I505" s="686">
        <v>50.527426160337548</v>
      </c>
      <c r="J505" s="686">
        <v>52.279577995478533</v>
      </c>
      <c r="K505" s="686">
        <v>67.153284671532845</v>
      </c>
      <c r="L505" s="686">
        <v>53.451612903225808</v>
      </c>
      <c r="M505" s="686">
        <v>87.171178040411746</v>
      </c>
      <c r="N505" s="686">
        <v>56.309657495788883</v>
      </c>
    </row>
    <row r="506" spans="1:14" ht="14">
      <c r="A506" s="239"/>
      <c r="B506" s="576" t="s">
        <v>106</v>
      </c>
      <c r="C506" s="584">
        <v>50</v>
      </c>
      <c r="D506" s="594">
        <v>51.912173429683158</v>
      </c>
      <c r="E506" s="594">
        <v>51.175917215428044</v>
      </c>
      <c r="F506" s="594">
        <v>66.504237288135585</v>
      </c>
      <c r="G506" s="594">
        <v>53.91427559334042</v>
      </c>
      <c r="H506" s="594">
        <v>57.1608040201005</v>
      </c>
      <c r="I506" s="594">
        <v>53.627311522048373</v>
      </c>
      <c r="J506" s="594">
        <v>50</v>
      </c>
      <c r="K506" s="594">
        <v>50.331125827814567</v>
      </c>
      <c r="L506" s="594">
        <v>65.631724561942832</v>
      </c>
      <c r="M506" s="594">
        <v>80.219285070591766</v>
      </c>
      <c r="N506" s="594">
        <v>48.060430135901832</v>
      </c>
    </row>
    <row r="507" spans="1:14" ht="14">
      <c r="A507" s="240"/>
      <c r="B507" s="577" t="s">
        <v>107</v>
      </c>
      <c r="C507" s="586">
        <v>50</v>
      </c>
      <c r="D507" s="595">
        <v>42.238766635920413</v>
      </c>
      <c r="E507" s="595">
        <v>51.446416831032217</v>
      </c>
      <c r="F507" s="595">
        <v>63.801836024058247</v>
      </c>
      <c r="G507" s="595">
        <v>55.255830142707971</v>
      </c>
      <c r="H507" s="595">
        <v>57.766172506738542</v>
      </c>
      <c r="I507" s="595">
        <v>60.370994940978079</v>
      </c>
      <c r="J507" s="595">
        <v>50</v>
      </c>
      <c r="K507" s="595">
        <v>31.398416886543536</v>
      </c>
      <c r="L507" s="595">
        <v>65.958026710275277</v>
      </c>
      <c r="M507" s="595">
        <v>85.943983402489636</v>
      </c>
      <c r="N507" s="595">
        <v>61.780673181324644</v>
      </c>
    </row>
    <row r="509" spans="1:14" ht="14">
      <c r="A509" s="823" t="s">
        <v>353</v>
      </c>
      <c r="B509" s="823"/>
      <c r="C509" s="823"/>
      <c r="D509" s="823"/>
      <c r="E509" s="823"/>
      <c r="F509" s="823"/>
      <c r="G509" s="823"/>
      <c r="H509" s="823"/>
      <c r="I509" s="823"/>
      <c r="J509" s="823"/>
      <c r="K509" s="823"/>
      <c r="L509" s="823"/>
      <c r="M509" s="823"/>
      <c r="N509" s="823"/>
    </row>
    <row r="510" spans="1:14" ht="18.649999999999999" customHeight="1">
      <c r="A510" s="717" t="s">
        <v>98</v>
      </c>
      <c r="B510" s="718"/>
      <c r="C510" s="721" t="s">
        <v>322</v>
      </c>
      <c r="D510" s="824" t="s">
        <v>336</v>
      </c>
      <c r="E510" s="825"/>
      <c r="F510" s="825"/>
      <c r="G510" s="825"/>
      <c r="H510" s="825"/>
      <c r="I510" s="825"/>
      <c r="J510" s="825"/>
      <c r="K510" s="825"/>
      <c r="L510" s="825"/>
      <c r="M510" s="825"/>
      <c r="N510" s="826"/>
    </row>
    <row r="511" spans="1:14" ht="59.15" customHeight="1">
      <c r="A511" s="751"/>
      <c r="B511" s="752"/>
      <c r="C511" s="722"/>
      <c r="D511" s="376" t="s">
        <v>337</v>
      </c>
      <c r="E511" s="376" t="s">
        <v>215</v>
      </c>
      <c r="F511" s="376" t="s">
        <v>338</v>
      </c>
      <c r="G511" s="376" t="s">
        <v>339</v>
      </c>
      <c r="H511" s="376" t="s">
        <v>340</v>
      </c>
      <c r="I511" s="376" t="s">
        <v>341</v>
      </c>
      <c r="J511" s="277" t="s">
        <v>342</v>
      </c>
      <c r="K511" s="277" t="s">
        <v>343</v>
      </c>
      <c r="L511" s="277" t="s">
        <v>344</v>
      </c>
      <c r="M511" s="281" t="s">
        <v>345</v>
      </c>
      <c r="N511" s="281" t="s">
        <v>346</v>
      </c>
    </row>
    <row r="512" spans="1:14" ht="14">
      <c r="A512" s="238">
        <v>2020</v>
      </c>
      <c r="B512" s="572" t="s">
        <v>112</v>
      </c>
      <c r="C512" s="579">
        <v>50</v>
      </c>
      <c r="D512" s="578">
        <v>61.710432931156831</v>
      </c>
      <c r="E512" s="578">
        <v>70.220719117123522</v>
      </c>
      <c r="F512" s="578">
        <v>72.957168894289197</v>
      </c>
      <c r="G512" s="578">
        <v>58.595106550907651</v>
      </c>
      <c r="H512" s="578">
        <v>48.055735580038899</v>
      </c>
      <c r="I512" s="578">
        <v>62.761904761904773</v>
      </c>
      <c r="J512" s="578">
        <v>48.800892359174568</v>
      </c>
      <c r="K512" s="578">
        <v>56.43879173290938</v>
      </c>
      <c r="L512" s="579">
        <v>59.844307492701908</v>
      </c>
      <c r="M512" s="578">
        <v>60.926517571884993</v>
      </c>
      <c r="N512" s="578">
        <v>55.151125401929271</v>
      </c>
    </row>
    <row r="513" spans="1:14" ht="14">
      <c r="A513" s="239"/>
      <c r="B513" s="573" t="s">
        <v>113</v>
      </c>
      <c r="C513" s="581">
        <v>50</v>
      </c>
      <c r="D513" s="580">
        <v>47.054263565891453</v>
      </c>
      <c r="E513" s="580">
        <v>58.356840620592394</v>
      </c>
      <c r="F513" s="580">
        <v>63.793317600298103</v>
      </c>
      <c r="G513" s="580">
        <v>69.844789356984464</v>
      </c>
      <c r="H513" s="580">
        <v>54.066216650594683</v>
      </c>
      <c r="I513" s="580">
        <v>68.968077208611746</v>
      </c>
      <c r="J513" s="580">
        <v>51.610399689561497</v>
      </c>
      <c r="K513" s="580">
        <v>63.564668769716107</v>
      </c>
      <c r="L513" s="581">
        <v>59.078889378580882</v>
      </c>
      <c r="M513" s="580">
        <v>64.18861512319458</v>
      </c>
      <c r="N513" s="580">
        <v>69.592549476135034</v>
      </c>
    </row>
    <row r="514" spans="1:14" ht="14">
      <c r="A514" s="239"/>
      <c r="B514" s="573" t="s">
        <v>114</v>
      </c>
      <c r="C514" s="581">
        <v>50</v>
      </c>
      <c r="D514" s="580">
        <v>51.598062953995147</v>
      </c>
      <c r="E514" s="580">
        <v>54.110012360939429</v>
      </c>
      <c r="F514" s="580">
        <v>50.342150282931939</v>
      </c>
      <c r="G514" s="580">
        <v>57.032324621733153</v>
      </c>
      <c r="H514" s="580">
        <v>49.78048561956814</v>
      </c>
      <c r="I514" s="580">
        <v>60.239361702127667</v>
      </c>
      <c r="J514" s="580">
        <v>54.152114862242932</v>
      </c>
      <c r="K514" s="580">
        <v>53.470031545741321</v>
      </c>
      <c r="L514" s="581">
        <v>73.20300751879698</v>
      </c>
      <c r="M514" s="580">
        <v>66.463022508038591</v>
      </c>
      <c r="N514" s="580">
        <v>59.248177565009257</v>
      </c>
    </row>
    <row r="515" spans="1:14" ht="14">
      <c r="A515" s="239"/>
      <c r="B515" s="573" t="s">
        <v>115</v>
      </c>
      <c r="C515" s="581">
        <v>50</v>
      </c>
      <c r="D515" s="580">
        <v>47.012603080753067</v>
      </c>
      <c r="E515" s="580">
        <v>59.858740435550331</v>
      </c>
      <c r="F515" s="580">
        <v>69.03281949278967</v>
      </c>
      <c r="G515" s="580">
        <v>67.159554992254613</v>
      </c>
      <c r="H515" s="580">
        <v>50.129916674133128</v>
      </c>
      <c r="I515" s="580">
        <v>67.494751574527655</v>
      </c>
      <c r="J515" s="580">
        <v>46.119518820333717</v>
      </c>
      <c r="K515" s="580">
        <v>55.546751188589539</v>
      </c>
      <c r="L515" s="581">
        <v>63.083015547081253</v>
      </c>
      <c r="M515" s="580">
        <v>69.892183288409711</v>
      </c>
      <c r="N515" s="580">
        <v>61.364425413725272</v>
      </c>
    </row>
    <row r="516" spans="1:14" ht="14">
      <c r="A516" s="239"/>
      <c r="B516" s="574" t="s">
        <v>116</v>
      </c>
      <c r="C516" s="583">
        <v>50</v>
      </c>
      <c r="D516" s="582">
        <v>57.757524374735077</v>
      </c>
      <c r="E516" s="582">
        <v>64.659977703455965</v>
      </c>
      <c r="F516" s="582">
        <v>77.879417879417886</v>
      </c>
      <c r="G516" s="582">
        <v>64.457647775746494</v>
      </c>
      <c r="H516" s="582">
        <v>63.637949075688873</v>
      </c>
      <c r="I516" s="582">
        <v>65.029985007496265</v>
      </c>
      <c r="J516" s="582">
        <v>53.744664338377973</v>
      </c>
      <c r="K516" s="582">
        <v>55.546492659053833</v>
      </c>
      <c r="L516" s="583">
        <v>84.459459459459453</v>
      </c>
      <c r="M516" s="582">
        <v>60.744115413819273</v>
      </c>
      <c r="N516" s="582">
        <v>71.556615940159929</v>
      </c>
    </row>
    <row r="517" spans="1:14" ht="14">
      <c r="A517" s="238">
        <v>2021</v>
      </c>
      <c r="B517" s="573" t="s">
        <v>105</v>
      </c>
      <c r="C517" s="581">
        <v>50</v>
      </c>
      <c r="D517" s="580">
        <v>31.557198782079201</v>
      </c>
      <c r="E517" s="580">
        <v>54.979674796747972</v>
      </c>
      <c r="F517" s="580">
        <v>72.108345534407036</v>
      </c>
      <c r="G517" s="580">
        <v>55.983493810178821</v>
      </c>
      <c r="H517" s="580">
        <v>53.919357748511644</v>
      </c>
      <c r="I517" s="580">
        <v>74.441240086517681</v>
      </c>
      <c r="J517" s="580">
        <v>69.767441860465112</v>
      </c>
      <c r="K517" s="580">
        <v>31.86195826645266</v>
      </c>
      <c r="L517" s="581">
        <v>45.345252774352652</v>
      </c>
      <c r="M517" s="578">
        <v>32.002902757619736</v>
      </c>
      <c r="N517" s="578">
        <v>57.36481861738536</v>
      </c>
    </row>
    <row r="518" spans="1:14" ht="14">
      <c r="A518" s="239"/>
      <c r="B518" s="573" t="s">
        <v>106</v>
      </c>
      <c r="C518" s="581">
        <v>50</v>
      </c>
      <c r="D518" s="580">
        <v>52.226219923543958</v>
      </c>
      <c r="E518" s="580">
        <v>62.021954674220957</v>
      </c>
      <c r="F518" s="580">
        <v>62.89045314562253</v>
      </c>
      <c r="G518" s="580">
        <v>71.571046679004724</v>
      </c>
      <c r="H518" s="580">
        <v>54.957874270900817</v>
      </c>
      <c r="I518" s="580">
        <v>87.00787401574803</v>
      </c>
      <c r="J518" s="580">
        <v>53.937168502651993</v>
      </c>
      <c r="K518" s="580">
        <v>58.483033932135733</v>
      </c>
      <c r="L518" s="581">
        <v>49.0636042402827</v>
      </c>
      <c r="M518" s="580">
        <v>57.998084291187752</v>
      </c>
      <c r="N518" s="580">
        <v>74.938635247913595</v>
      </c>
    </row>
    <row r="519" spans="1:14" ht="14">
      <c r="A519" s="239"/>
      <c r="B519" s="573" t="s">
        <v>107</v>
      </c>
      <c r="C519" s="581">
        <v>50</v>
      </c>
      <c r="D519" s="580">
        <v>47.384474607289917</v>
      </c>
      <c r="E519" s="580">
        <v>56.854186873585519</v>
      </c>
      <c r="F519" s="580">
        <v>67.028261490151309</v>
      </c>
      <c r="G519" s="580">
        <v>62.001064395955297</v>
      </c>
      <c r="H519" s="580">
        <v>50.752418487997133</v>
      </c>
      <c r="I519" s="580">
        <v>75.695732838590004</v>
      </c>
      <c r="J519" s="580">
        <v>62.960807140085358</v>
      </c>
      <c r="K519" s="580">
        <v>56.50080256821829</v>
      </c>
      <c r="L519" s="581">
        <v>70.082530949105902</v>
      </c>
      <c r="M519" s="580">
        <v>75.714285714285722</v>
      </c>
      <c r="N519" s="580">
        <v>73.103143542482002</v>
      </c>
    </row>
    <row r="520" spans="1:14" ht="14">
      <c r="A520" s="239"/>
      <c r="B520" s="573" t="s">
        <v>108</v>
      </c>
      <c r="C520" s="581">
        <v>50</v>
      </c>
      <c r="D520" s="580">
        <v>59.941563184806448</v>
      </c>
      <c r="E520" s="580">
        <v>68.655692729766812</v>
      </c>
      <c r="F520" s="580">
        <v>67.139903514817362</v>
      </c>
      <c r="G520" s="580">
        <v>70.118605062842974</v>
      </c>
      <c r="H520" s="580">
        <v>59.749303621169901</v>
      </c>
      <c r="I520" s="580">
        <v>71.817383669885885</v>
      </c>
      <c r="J520" s="580">
        <v>60.165545783755832</v>
      </c>
      <c r="K520" s="580">
        <v>52.145214521452139</v>
      </c>
      <c r="L520" s="581">
        <v>34.905660377358487</v>
      </c>
      <c r="M520" s="580">
        <v>57.432981316003257</v>
      </c>
      <c r="N520" s="580">
        <v>51.668743941282408</v>
      </c>
    </row>
    <row r="521" spans="1:14" ht="14">
      <c r="A521" s="239"/>
      <c r="B521" s="573" t="s">
        <v>109</v>
      </c>
      <c r="C521" s="581">
        <v>50</v>
      </c>
      <c r="D521" s="580">
        <v>50.099769762087519</v>
      </c>
      <c r="E521" s="580">
        <v>67.941680960548894</v>
      </c>
      <c r="F521" s="580">
        <v>58.644245927482913</v>
      </c>
      <c r="G521" s="580">
        <v>60.351840553182839</v>
      </c>
      <c r="H521" s="580">
        <v>55.443234836702963</v>
      </c>
      <c r="I521" s="580">
        <v>60.818083961248668</v>
      </c>
      <c r="J521" s="580">
        <v>55.4467564259486</v>
      </c>
      <c r="K521" s="580">
        <v>50.816993464052288</v>
      </c>
      <c r="L521" s="581">
        <v>66.324626865671632</v>
      </c>
      <c r="M521" s="580">
        <v>52.235099337748338</v>
      </c>
      <c r="N521" s="580">
        <v>39.484946871310513</v>
      </c>
    </row>
    <row r="522" spans="1:14" ht="14">
      <c r="A522" s="239"/>
      <c r="B522" s="573" t="s">
        <v>110</v>
      </c>
      <c r="C522" s="581">
        <v>50</v>
      </c>
      <c r="D522" s="580">
        <v>51.960784313725512</v>
      </c>
      <c r="E522" s="580">
        <v>59.230769230769234</v>
      </c>
      <c r="F522" s="580">
        <v>64.320011297839287</v>
      </c>
      <c r="G522" s="580">
        <v>57.459459459459467</v>
      </c>
      <c r="H522" s="580">
        <v>83.575736076622917</v>
      </c>
      <c r="I522" s="580">
        <v>70.203045685279207</v>
      </c>
      <c r="J522" s="580">
        <v>50</v>
      </c>
      <c r="K522" s="580">
        <v>49.9184339314845</v>
      </c>
      <c r="L522" s="581">
        <v>40.911008013496428</v>
      </c>
      <c r="M522" s="580">
        <v>46.538461538461512</v>
      </c>
      <c r="N522" s="580">
        <v>64.624350291384474</v>
      </c>
    </row>
    <row r="523" spans="1:14" ht="14">
      <c r="A523" s="239"/>
      <c r="B523" s="573" t="s">
        <v>117</v>
      </c>
      <c r="C523" s="581">
        <v>50</v>
      </c>
      <c r="D523" s="580">
        <v>61.483628387905391</v>
      </c>
      <c r="E523" s="580">
        <v>63.06990881458966</v>
      </c>
      <c r="F523" s="580">
        <v>51.306730363917367</v>
      </c>
      <c r="G523" s="580">
        <v>56.613141770547223</v>
      </c>
      <c r="H523" s="580">
        <v>52.045060658578841</v>
      </c>
      <c r="I523" s="580">
        <v>77.666314677930316</v>
      </c>
      <c r="J523" s="580">
        <v>53.937168502651993</v>
      </c>
      <c r="K523" s="580">
        <v>45.614035087719301</v>
      </c>
      <c r="L523" s="581">
        <v>60.634328358208961</v>
      </c>
      <c r="M523" s="580">
        <v>74.726661059714047</v>
      </c>
      <c r="N523" s="580">
        <v>72.204578536456268</v>
      </c>
    </row>
    <row r="524" spans="1:14" ht="14">
      <c r="A524" s="239"/>
      <c r="B524" s="573" t="s">
        <v>112</v>
      </c>
      <c r="C524" s="581">
        <v>50</v>
      </c>
      <c r="D524" s="580">
        <v>70.148379539242526</v>
      </c>
      <c r="E524" s="580">
        <v>61.73660157872871</v>
      </c>
      <c r="F524" s="580">
        <v>75.412512891027845</v>
      </c>
      <c r="G524" s="580">
        <v>67.653736991485331</v>
      </c>
      <c r="H524" s="580">
        <v>69.177350427350447</v>
      </c>
      <c r="I524" s="580">
        <v>79.77824709609294</v>
      </c>
      <c r="J524" s="580">
        <v>53.948199620972836</v>
      </c>
      <c r="K524" s="580">
        <v>46.210873146622738</v>
      </c>
      <c r="L524" s="581">
        <v>49.090909090909037</v>
      </c>
      <c r="M524" s="580">
        <v>58.755760368663587</v>
      </c>
      <c r="N524" s="580">
        <v>67.28878757657786</v>
      </c>
    </row>
    <row r="525" spans="1:14" ht="14">
      <c r="A525" s="239"/>
      <c r="B525" s="573" t="s">
        <v>113</v>
      </c>
      <c r="C525" s="581">
        <v>50</v>
      </c>
      <c r="D525" s="580">
        <v>85.339974014725016</v>
      </c>
      <c r="E525" s="580">
        <v>53.529620432777577</v>
      </c>
      <c r="F525" s="580">
        <v>69.924548166344977</v>
      </c>
      <c r="G525" s="580">
        <v>62.506199371796981</v>
      </c>
      <c r="H525" s="580">
        <v>57.17948717948714</v>
      </c>
      <c r="I525" s="580">
        <v>67.356321839080508</v>
      </c>
      <c r="J525" s="580">
        <v>79.304542905215925</v>
      </c>
      <c r="K525" s="580">
        <v>42.47933884297521</v>
      </c>
      <c r="L525" s="581">
        <v>64.149746192893389</v>
      </c>
      <c r="M525" s="580">
        <v>33.106060606060574</v>
      </c>
      <c r="N525" s="580">
        <v>54.992131491519487</v>
      </c>
    </row>
    <row r="526" spans="1:14" ht="14">
      <c r="A526" s="239"/>
      <c r="B526" s="573" t="s">
        <v>114</v>
      </c>
      <c r="C526" s="581">
        <v>50</v>
      </c>
      <c r="D526" s="580">
        <v>80.773495980038817</v>
      </c>
      <c r="E526" s="580">
        <v>62.882822902796278</v>
      </c>
      <c r="F526" s="580">
        <v>63.826638477801268</v>
      </c>
      <c r="G526" s="580">
        <v>70.121130551816975</v>
      </c>
      <c r="H526" s="580">
        <v>52.425665101721449</v>
      </c>
      <c r="I526" s="580">
        <v>69.672943508424211</v>
      </c>
      <c r="J526" s="580">
        <v>55.98101265822784</v>
      </c>
      <c r="K526" s="580">
        <v>47.868561278863233</v>
      </c>
      <c r="L526" s="581">
        <v>51.616231086657542</v>
      </c>
      <c r="M526" s="580">
        <v>50</v>
      </c>
      <c r="N526" s="580">
        <v>49.324646432544071</v>
      </c>
    </row>
    <row r="527" spans="1:14" ht="14">
      <c r="A527" s="239"/>
      <c r="B527" s="573" t="s">
        <v>115</v>
      </c>
      <c r="C527" s="581">
        <v>50</v>
      </c>
      <c r="D527" s="581">
        <v>66.786837965390674</v>
      </c>
      <c r="E527" s="581">
        <v>61.586816173972139</v>
      </c>
      <c r="F527" s="580">
        <v>70.518543956043956</v>
      </c>
      <c r="G527" s="580">
        <v>60.780970936840397</v>
      </c>
      <c r="H527" s="580">
        <v>50</v>
      </c>
      <c r="I527" s="580">
        <v>78.754813863928106</v>
      </c>
      <c r="J527" s="580">
        <v>52.5</v>
      </c>
      <c r="K527" s="580">
        <v>69.15708812260533</v>
      </c>
      <c r="L527" s="581">
        <v>46.774193548387103</v>
      </c>
      <c r="M527" s="580">
        <v>22.074468085106371</v>
      </c>
      <c r="N527" s="580">
        <v>76.413913913913916</v>
      </c>
    </row>
    <row r="528" spans="1:14" ht="14">
      <c r="A528" s="239"/>
      <c r="B528" s="573" t="s">
        <v>116</v>
      </c>
      <c r="C528" s="581">
        <v>50</v>
      </c>
      <c r="D528" s="580">
        <v>70.569042025580799</v>
      </c>
      <c r="E528" s="580">
        <v>59.405617243631617</v>
      </c>
      <c r="F528" s="581">
        <v>73.345018201429127</v>
      </c>
      <c r="G528" s="593">
        <v>75.064226075786777</v>
      </c>
      <c r="H528" s="580">
        <v>49.089219330855023</v>
      </c>
      <c r="I528" s="580">
        <v>80.259900990099013</v>
      </c>
      <c r="J528" s="593">
        <v>54.364896073902997</v>
      </c>
      <c r="K528" s="580">
        <v>78.608247422680407</v>
      </c>
      <c r="L528" s="580">
        <v>73.907615480649213</v>
      </c>
      <c r="M528" s="593">
        <v>55.973451327433629</v>
      </c>
      <c r="N528" s="580">
        <v>58.543630282760716</v>
      </c>
    </row>
    <row r="529" spans="1:14" ht="14">
      <c r="A529" s="238">
        <v>2022</v>
      </c>
      <c r="B529" s="575" t="s">
        <v>105</v>
      </c>
      <c r="C529" s="578">
        <v>50</v>
      </c>
      <c r="D529" s="578">
        <v>39.480628523449667</v>
      </c>
      <c r="E529" s="578">
        <v>63.50788455816722</v>
      </c>
      <c r="F529" s="578">
        <v>83.675724873228461</v>
      </c>
      <c r="G529" s="578">
        <v>63.42776203966006</v>
      </c>
      <c r="H529" s="578">
        <v>51.969696969696948</v>
      </c>
      <c r="I529" s="578">
        <v>78.060805258833199</v>
      </c>
      <c r="J529" s="578">
        <v>51.312277580071182</v>
      </c>
      <c r="K529" s="578">
        <v>53.333333333333343</v>
      </c>
      <c r="L529" s="578">
        <v>64.273927392739296</v>
      </c>
      <c r="M529" s="578">
        <v>81.167933655839676</v>
      </c>
      <c r="N529" s="578">
        <v>70.648112356655076</v>
      </c>
    </row>
    <row r="530" spans="1:14" ht="14">
      <c r="A530" s="239"/>
      <c r="B530" s="576" t="s">
        <v>106</v>
      </c>
      <c r="C530" s="580">
        <v>50</v>
      </c>
      <c r="D530" s="580">
        <v>68.201648085312655</v>
      </c>
      <c r="E530" s="580">
        <v>63.67211131276467</v>
      </c>
      <c r="F530" s="580">
        <v>78.438258204571568</v>
      </c>
      <c r="G530" s="580">
        <v>72.200996677740875</v>
      </c>
      <c r="H530" s="580">
        <v>94.061379035472299</v>
      </c>
      <c r="I530" s="580">
        <v>61.720116618075807</v>
      </c>
      <c r="J530" s="580">
        <v>50</v>
      </c>
      <c r="K530" s="580">
        <v>79.368932038834942</v>
      </c>
      <c r="L530" s="580">
        <v>43.306982872200251</v>
      </c>
      <c r="M530" s="580">
        <v>43.611793611793587</v>
      </c>
      <c r="N530" s="580">
        <v>53.343153580120408</v>
      </c>
    </row>
    <row r="531" spans="1:14" ht="14">
      <c r="A531" s="239"/>
      <c r="B531" s="576" t="s">
        <v>107</v>
      </c>
      <c r="C531" s="580">
        <v>50</v>
      </c>
      <c r="D531" s="580">
        <v>54.635818337617827</v>
      </c>
      <c r="E531" s="580">
        <v>61.699365262550486</v>
      </c>
      <c r="F531" s="580">
        <v>83.184781162697874</v>
      </c>
      <c r="G531" s="580">
        <v>73.497312265841359</v>
      </c>
      <c r="H531" s="580">
        <v>84.416666666666657</v>
      </c>
      <c r="I531" s="580">
        <v>71.959459459459453</v>
      </c>
      <c r="J531" s="580">
        <v>54.203736654804267</v>
      </c>
      <c r="K531" s="580">
        <v>86.864406779660996</v>
      </c>
      <c r="L531" s="580">
        <v>50.040398599515228</v>
      </c>
      <c r="M531" s="580">
        <v>65.453527435610312</v>
      </c>
      <c r="N531" s="580">
        <v>66.904761851920313</v>
      </c>
    </row>
    <row r="532" spans="1:14" ht="14">
      <c r="A532" s="239"/>
      <c r="B532" s="576" t="s">
        <v>108</v>
      </c>
      <c r="C532" s="580">
        <v>50</v>
      </c>
      <c r="D532" s="580">
        <v>53.19093423191309</v>
      </c>
      <c r="E532" s="580">
        <v>71.421011031009158</v>
      </c>
      <c r="F532" s="580">
        <v>81.671744366482471</v>
      </c>
      <c r="G532" s="580">
        <v>69.954955717521273</v>
      </c>
      <c r="H532" s="580">
        <v>58.268978573995639</v>
      </c>
      <c r="I532" s="580">
        <v>64.979164821053445</v>
      </c>
      <c r="J532" s="580">
        <v>55.999336566813128</v>
      </c>
      <c r="K532" s="580">
        <v>51.125422736975644</v>
      </c>
      <c r="L532" s="580">
        <v>57.400624799493251</v>
      </c>
      <c r="M532" s="580">
        <v>50</v>
      </c>
      <c r="N532" s="580">
        <v>74.427435928626778</v>
      </c>
    </row>
    <row r="533" spans="1:14" ht="14">
      <c r="A533" s="239"/>
      <c r="B533" s="576" t="s">
        <v>109</v>
      </c>
      <c r="C533" s="580">
        <v>50</v>
      </c>
      <c r="D533" s="580">
        <v>36.965414652287087</v>
      </c>
      <c r="E533" s="580">
        <v>60.019591379792892</v>
      </c>
      <c r="F533" s="580">
        <v>76.16108919709886</v>
      </c>
      <c r="G533" s="580">
        <v>56.343618933493097</v>
      </c>
      <c r="H533" s="580">
        <v>51.18147448015123</v>
      </c>
      <c r="I533" s="580">
        <v>76.463963963963963</v>
      </c>
      <c r="J533" s="580">
        <v>87.121886120996464</v>
      </c>
      <c r="K533" s="580">
        <v>51.741293532338311</v>
      </c>
      <c r="L533" s="580">
        <v>63.456953642384057</v>
      </c>
      <c r="M533" s="580">
        <v>63.266998341625197</v>
      </c>
      <c r="N533" s="580">
        <v>75.472028885796703</v>
      </c>
    </row>
    <row r="534" spans="1:14" ht="14">
      <c r="A534" s="239"/>
      <c r="B534" s="576" t="s">
        <v>110</v>
      </c>
      <c r="C534" s="580">
        <v>50</v>
      </c>
      <c r="D534" s="580">
        <v>68.459546925566343</v>
      </c>
      <c r="E534" s="580">
        <v>66.093979441997064</v>
      </c>
      <c r="F534" s="580">
        <v>79.439074026965145</v>
      </c>
      <c r="G534" s="580">
        <v>63.07494052339414</v>
      </c>
      <c r="H534" s="580">
        <v>95.210651828298893</v>
      </c>
      <c r="I534" s="580">
        <v>69.727138643067846</v>
      </c>
      <c r="J534" s="580">
        <v>72.775800711743784</v>
      </c>
      <c r="K534" s="580">
        <v>53.696098562628343</v>
      </c>
      <c r="L534" s="580">
        <v>60.939575033200548</v>
      </c>
      <c r="M534" s="580">
        <v>69.118982742960952</v>
      </c>
      <c r="N534" s="580">
        <v>76.516891800589178</v>
      </c>
    </row>
    <row r="535" spans="1:14" ht="14">
      <c r="A535" s="239"/>
      <c r="B535" s="576" t="s">
        <v>117</v>
      </c>
      <c r="C535" s="580">
        <v>50</v>
      </c>
      <c r="D535" s="580">
        <v>65.965221774193552</v>
      </c>
      <c r="E535" s="580">
        <v>69.844296155068321</v>
      </c>
      <c r="F535" s="580">
        <v>70.499563064375167</v>
      </c>
      <c r="G535" s="580">
        <v>65.581395348837219</v>
      </c>
      <c r="H535" s="580">
        <v>86.79144385026737</v>
      </c>
      <c r="I535" s="580">
        <v>62.021276595744688</v>
      </c>
      <c r="J535" s="580">
        <v>57.580174927113703</v>
      </c>
      <c r="K535" s="580">
        <v>50.73221757322176</v>
      </c>
      <c r="L535" s="580">
        <v>66.715231788079478</v>
      </c>
      <c r="M535" s="580">
        <v>74.374176548089594</v>
      </c>
      <c r="N535" s="580">
        <v>84.050450109290963</v>
      </c>
    </row>
    <row r="536" spans="1:14" ht="14">
      <c r="A536" s="239"/>
      <c r="B536" s="576" t="s">
        <v>112</v>
      </c>
      <c r="C536" s="580">
        <v>50</v>
      </c>
      <c r="D536" s="580">
        <v>59.710709436486212</v>
      </c>
      <c r="E536" s="580">
        <v>60.000442979379642</v>
      </c>
      <c r="F536" s="580">
        <v>78.005998103954497</v>
      </c>
      <c r="G536" s="580">
        <v>60.75332510657924</v>
      </c>
      <c r="H536" s="580">
        <v>56.578916083457408</v>
      </c>
      <c r="I536" s="580">
        <v>42.846205137301851</v>
      </c>
      <c r="J536" s="580">
        <v>49.038987241450499</v>
      </c>
      <c r="K536" s="580">
        <v>52.262287811522782</v>
      </c>
      <c r="L536" s="580">
        <v>71.149798411525083</v>
      </c>
      <c r="M536" s="580">
        <v>64.81779070706834</v>
      </c>
      <c r="N536" s="580">
        <v>54.713858473893112</v>
      </c>
    </row>
    <row r="537" spans="1:14" ht="14">
      <c r="A537" s="239"/>
      <c r="B537" s="576" t="s">
        <v>113</v>
      </c>
      <c r="C537" s="580">
        <v>50</v>
      </c>
      <c r="D537" s="580">
        <v>69.405370843989772</v>
      </c>
      <c r="E537" s="580">
        <v>58.573008849557517</v>
      </c>
      <c r="F537" s="580">
        <v>50.1078914919852</v>
      </c>
      <c r="G537" s="580">
        <v>52.358217592592602</v>
      </c>
      <c r="H537" s="580">
        <v>28.915275994865201</v>
      </c>
      <c r="I537" s="580">
        <v>71.455108359133135</v>
      </c>
      <c r="J537" s="580">
        <v>60.520462633451949</v>
      </c>
      <c r="K537" s="580">
        <v>52.936096718480137</v>
      </c>
      <c r="L537" s="580">
        <v>66.110397946084731</v>
      </c>
      <c r="M537" s="580">
        <v>61.94196428571427</v>
      </c>
      <c r="N537" s="580">
        <v>74.811890162781694</v>
      </c>
    </row>
    <row r="538" spans="1:14" ht="14">
      <c r="A538" s="239"/>
      <c r="B538" s="576" t="s">
        <v>114</v>
      </c>
      <c r="C538" s="580">
        <v>50</v>
      </c>
      <c r="D538" s="580">
        <v>38.19935691318328</v>
      </c>
      <c r="E538" s="580">
        <v>52.512904102146152</v>
      </c>
      <c r="F538" s="580">
        <v>57.914268403514093</v>
      </c>
      <c r="G538" s="580">
        <v>52.764002333722289</v>
      </c>
      <c r="H538" s="580">
        <v>77.713487629688743</v>
      </c>
      <c r="I538" s="580">
        <v>55.97949886104783</v>
      </c>
      <c r="J538" s="580">
        <v>72.2944550669216</v>
      </c>
      <c r="K538" s="580">
        <v>83.228511530398322</v>
      </c>
      <c r="L538" s="580">
        <v>41.812616983890749</v>
      </c>
      <c r="M538" s="580">
        <v>61.796350398630238</v>
      </c>
      <c r="N538" s="580">
        <v>50.752901551975953</v>
      </c>
    </row>
    <row r="539" spans="1:14" ht="14">
      <c r="A539" s="239"/>
      <c r="B539" s="576" t="s">
        <v>115</v>
      </c>
      <c r="C539" s="580">
        <v>50</v>
      </c>
      <c r="D539" s="580">
        <v>58.639989706639213</v>
      </c>
      <c r="E539" s="580">
        <v>59.95267672286306</v>
      </c>
      <c r="F539" s="580">
        <v>59.833638798815727</v>
      </c>
      <c r="G539" s="580">
        <v>63.103886669088261</v>
      </c>
      <c r="H539" s="580">
        <v>56.870860927152322</v>
      </c>
      <c r="I539" s="580">
        <v>71.402616279069747</v>
      </c>
      <c r="J539" s="580">
        <v>54.713740458015273</v>
      </c>
      <c r="K539" s="580">
        <v>52.920353982300888</v>
      </c>
      <c r="L539" s="580">
        <v>68.826880612489859</v>
      </c>
      <c r="M539" s="580">
        <v>62.92719013409306</v>
      </c>
      <c r="N539" s="580">
        <v>59.380929009510417</v>
      </c>
    </row>
    <row r="540" spans="1:14" ht="14">
      <c r="A540" s="240"/>
      <c r="B540" s="577" t="s">
        <v>116</v>
      </c>
      <c r="C540" s="582">
        <v>50</v>
      </c>
      <c r="D540" s="582">
        <v>71.589537223340045</v>
      </c>
      <c r="E540" s="582">
        <v>60.055435786880203</v>
      </c>
      <c r="F540" s="582">
        <v>62.84210526315789</v>
      </c>
      <c r="G540" s="582">
        <v>58.647067646617671</v>
      </c>
      <c r="H540" s="582">
        <v>31.676022453889338</v>
      </c>
      <c r="I540" s="582">
        <v>54.930847865303669</v>
      </c>
      <c r="J540" s="582">
        <v>54.198473282442748</v>
      </c>
      <c r="K540" s="582">
        <v>51.306620209059233</v>
      </c>
      <c r="L540" s="582">
        <v>67.494311780688776</v>
      </c>
      <c r="M540" s="582">
        <v>63.278688524590173</v>
      </c>
      <c r="N540" s="582">
        <v>62.602117055569273</v>
      </c>
    </row>
    <row r="541" spans="1:14" ht="14">
      <c r="A541" s="238">
        <v>2023</v>
      </c>
      <c r="B541" s="575" t="s">
        <v>105</v>
      </c>
      <c r="C541" s="578">
        <v>50</v>
      </c>
      <c r="D541" s="578">
        <v>35.279729051680889</v>
      </c>
      <c r="E541" s="578">
        <v>65.748563703954019</v>
      </c>
      <c r="F541" s="578">
        <v>50.718324927403323</v>
      </c>
      <c r="G541" s="578">
        <v>64.581056466302385</v>
      </c>
      <c r="H541" s="578">
        <v>35.488013698630148</v>
      </c>
      <c r="I541" s="578">
        <v>53.366275478690547</v>
      </c>
      <c r="J541" s="578">
        <v>54.182655410590947</v>
      </c>
      <c r="K541" s="578">
        <v>51.883561643835613</v>
      </c>
      <c r="L541" s="578">
        <v>70.080109596351406</v>
      </c>
      <c r="M541" s="578">
        <v>70.860223185053172</v>
      </c>
      <c r="N541" s="578">
        <v>72.784572420666166</v>
      </c>
    </row>
    <row r="542" spans="1:14" ht="14">
      <c r="A542" s="239"/>
      <c r="B542" s="576" t="s">
        <v>106</v>
      </c>
      <c r="C542" s="580">
        <v>50</v>
      </c>
      <c r="D542" s="580">
        <v>27.082172701949862</v>
      </c>
      <c r="E542" s="580">
        <v>67.905405405405389</v>
      </c>
      <c r="F542" s="580">
        <v>55.080174927113703</v>
      </c>
      <c r="G542" s="580">
        <v>71.285664578983997</v>
      </c>
      <c r="H542" s="580">
        <v>55.314658480429777</v>
      </c>
      <c r="I542" s="580">
        <v>56.953028430160693</v>
      </c>
      <c r="J542" s="580">
        <v>52.590176515732921</v>
      </c>
      <c r="K542" s="580">
        <v>51.388888888888893</v>
      </c>
      <c r="L542" s="580">
        <v>54.459091430852659</v>
      </c>
      <c r="M542" s="580">
        <v>53.757711147090802</v>
      </c>
      <c r="N542" s="580">
        <v>68.817508889295908</v>
      </c>
    </row>
    <row r="543" spans="1:14" ht="14">
      <c r="A543" s="239"/>
      <c r="B543" s="576" t="s">
        <v>107</v>
      </c>
      <c r="C543" s="580">
        <v>50</v>
      </c>
      <c r="D543" s="580">
        <v>35.354992473657809</v>
      </c>
      <c r="E543" s="580">
        <v>65.447034523458257</v>
      </c>
      <c r="F543" s="580">
        <v>65.560740848767679</v>
      </c>
      <c r="G543" s="580">
        <v>67.27850335333568</v>
      </c>
      <c r="H543" s="580">
        <v>57.338254450716462</v>
      </c>
      <c r="I543" s="580">
        <v>56.444053895723492</v>
      </c>
      <c r="J543" s="580">
        <v>69.244052187260166</v>
      </c>
      <c r="K543" s="580">
        <v>50.409836065573771</v>
      </c>
      <c r="L543" s="580">
        <v>50.212358534929393</v>
      </c>
      <c r="M543" s="580">
        <v>60.437035280088622</v>
      </c>
      <c r="N543" s="580">
        <v>56.673402045297912</v>
      </c>
    </row>
    <row r="544" spans="1:14" ht="14">
      <c r="A544" s="239"/>
      <c r="B544" s="576" t="s">
        <v>108</v>
      </c>
      <c r="C544" s="580">
        <v>50</v>
      </c>
      <c r="D544" s="580">
        <v>63.114218504966033</v>
      </c>
      <c r="E544" s="580">
        <v>62.373053486797588</v>
      </c>
      <c r="F544" s="580">
        <v>55.830985915492953</v>
      </c>
      <c r="G544" s="580">
        <v>52.815037063183901</v>
      </c>
      <c r="H544" s="580">
        <v>56.403940886699509</v>
      </c>
      <c r="I544" s="580">
        <v>53.052756372258443</v>
      </c>
      <c r="J544" s="580">
        <v>70.337682271680748</v>
      </c>
      <c r="K544" s="580">
        <v>49.906716417910452</v>
      </c>
      <c r="L544" s="580">
        <v>60.976087808702466</v>
      </c>
      <c r="M544" s="580">
        <v>76.834694883857281</v>
      </c>
      <c r="N544" s="580">
        <v>45.048745280504313</v>
      </c>
    </row>
    <row r="545" spans="1:14" ht="14">
      <c r="A545" s="239"/>
      <c r="B545" s="576" t="s">
        <v>109</v>
      </c>
      <c r="C545" s="580">
        <v>50</v>
      </c>
      <c r="D545" s="580">
        <v>70.640991822738073</v>
      </c>
      <c r="E545" s="580">
        <v>57.531682027649772</v>
      </c>
      <c r="F545" s="580">
        <v>52.672521957340017</v>
      </c>
      <c r="G545" s="580">
        <v>57.626076260762602</v>
      </c>
      <c r="H545" s="580">
        <v>87.735849056603769</v>
      </c>
      <c r="I545" s="580">
        <v>52.429514097180572</v>
      </c>
      <c r="J545" s="580">
        <v>51.227935533384503</v>
      </c>
      <c r="K545" s="580">
        <v>62.065813528336363</v>
      </c>
      <c r="L545" s="580">
        <v>79.297467747922866</v>
      </c>
      <c r="M545" s="580">
        <v>60.458096656871447</v>
      </c>
      <c r="N545" s="580">
        <v>65.460918829324925</v>
      </c>
    </row>
    <row r="546" spans="1:14" ht="14">
      <c r="A546" s="239"/>
      <c r="B546" s="576" t="s">
        <v>110</v>
      </c>
      <c r="C546" s="580">
        <v>50</v>
      </c>
      <c r="D546" s="580">
        <v>29.216902880224751</v>
      </c>
      <c r="E546" s="580">
        <v>83.031151598714359</v>
      </c>
      <c r="F546" s="580">
        <v>63.813466633336461</v>
      </c>
      <c r="G546" s="580">
        <v>59.452336867632177</v>
      </c>
      <c r="H546" s="580">
        <v>47.658329513732468</v>
      </c>
      <c r="I546" s="580">
        <v>47.33342558727179</v>
      </c>
      <c r="J546" s="580">
        <v>73.906078474042857</v>
      </c>
      <c r="K546" s="580">
        <v>52.966994835468277</v>
      </c>
      <c r="L546" s="580">
        <v>52.053303591595522</v>
      </c>
      <c r="M546" s="580">
        <v>81.434753867263169</v>
      </c>
      <c r="N546" s="580">
        <v>63.75405521174298</v>
      </c>
    </row>
    <row r="547" spans="1:14" ht="14">
      <c r="A547" s="239"/>
      <c r="B547" s="576" t="s">
        <v>117</v>
      </c>
      <c r="C547" s="580">
        <v>50</v>
      </c>
      <c r="D547" s="580">
        <v>96.506690684508484</v>
      </c>
      <c r="E547" s="580">
        <v>61.256094063665053</v>
      </c>
      <c r="F547" s="580">
        <v>58.771793275217917</v>
      </c>
      <c r="G547" s="580">
        <v>70.305608065532439</v>
      </c>
      <c r="H547" s="580">
        <v>60.71919377004123</v>
      </c>
      <c r="I547" s="580">
        <v>56.646825396825399</v>
      </c>
      <c r="J547" s="580">
        <v>73.637759017651589</v>
      </c>
      <c r="K547" s="580">
        <v>51.612903225806448</v>
      </c>
      <c r="L547" s="580">
        <v>80.059413293724475</v>
      </c>
      <c r="M547" s="580">
        <v>84.910988103263279</v>
      </c>
      <c r="N547" s="580">
        <v>63.957034876011143</v>
      </c>
    </row>
    <row r="548" spans="1:14" ht="14">
      <c r="A548" s="239"/>
      <c r="B548" s="576" t="s">
        <v>112</v>
      </c>
      <c r="C548" s="580">
        <v>50</v>
      </c>
      <c r="D548" s="580">
        <v>92.376712328767127</v>
      </c>
      <c r="E548" s="580">
        <v>58.784176847004083</v>
      </c>
      <c r="F548" s="580">
        <v>71.397079085147425</v>
      </c>
      <c r="G548" s="580">
        <v>68.158635244460072</v>
      </c>
      <c r="H548" s="580">
        <v>56.919750120134552</v>
      </c>
      <c r="I548" s="580">
        <v>49.355036855036857</v>
      </c>
      <c r="J548" s="580">
        <v>54.873369148119728</v>
      </c>
      <c r="K548" s="580">
        <v>52.508650519031143</v>
      </c>
      <c r="L548" s="580">
        <v>60.310361397061719</v>
      </c>
      <c r="M548" s="580">
        <v>63.986605886656548</v>
      </c>
      <c r="N548" s="580">
        <v>80.348105172200974</v>
      </c>
    </row>
    <row r="549" spans="1:14" ht="14">
      <c r="A549" s="239"/>
      <c r="B549" s="576" t="s">
        <v>113</v>
      </c>
      <c r="C549" s="580">
        <v>50</v>
      </c>
      <c r="D549" s="580">
        <v>63.218390804597703</v>
      </c>
      <c r="E549" s="580">
        <v>66.153217011995636</v>
      </c>
      <c r="F549" s="580">
        <v>56.232492997198882</v>
      </c>
      <c r="G549" s="580">
        <v>64.191926246682485</v>
      </c>
      <c r="H549" s="580">
        <v>49.545247839927242</v>
      </c>
      <c r="I549" s="580">
        <v>52.132845825716018</v>
      </c>
      <c r="J549" s="580">
        <v>50</v>
      </c>
      <c r="K549" s="580">
        <v>58.172231985940229</v>
      </c>
      <c r="L549" s="580">
        <v>51.301020408163268</v>
      </c>
      <c r="M549" s="580">
        <v>62.27518040673516</v>
      </c>
      <c r="N549" s="580">
        <v>47.533228491877338</v>
      </c>
    </row>
    <row r="550" spans="1:14" ht="14">
      <c r="A550" s="239"/>
      <c r="B550" s="576" t="s">
        <v>114</v>
      </c>
      <c r="C550" s="580">
        <v>50</v>
      </c>
      <c r="D550" s="580">
        <v>97.513956215032323</v>
      </c>
      <c r="E550" s="580">
        <v>57.259664904429471</v>
      </c>
      <c r="F550" s="580">
        <v>64.11246687802992</v>
      </c>
      <c r="G550" s="580">
        <v>55.423779558173273</v>
      </c>
      <c r="H550" s="580">
        <v>79.920981548991989</v>
      </c>
      <c r="I550" s="580">
        <v>58.097093479237998</v>
      </c>
      <c r="J550" s="580">
        <v>50</v>
      </c>
      <c r="K550" s="580">
        <v>51.784706989228091</v>
      </c>
      <c r="L550" s="580">
        <v>50.879342316564532</v>
      </c>
      <c r="M550" s="580">
        <v>47.904996737561738</v>
      </c>
      <c r="N550" s="580">
        <v>55.270306387610489</v>
      </c>
    </row>
    <row r="551" spans="1:14" ht="14">
      <c r="A551" s="239"/>
      <c r="B551" s="576" t="s">
        <v>115</v>
      </c>
      <c r="C551" s="580">
        <v>50</v>
      </c>
      <c r="D551" s="580">
        <v>52.171103644352549</v>
      </c>
      <c r="E551" s="580">
        <v>60.717287755673873</v>
      </c>
      <c r="F551" s="580">
        <v>54.357550516736083</v>
      </c>
      <c r="G551" s="580">
        <v>52.327916742742367</v>
      </c>
      <c r="H551" s="580">
        <v>58.20361800588978</v>
      </c>
      <c r="I551" s="580">
        <v>62.430683918669132</v>
      </c>
      <c r="J551" s="580">
        <v>34.363008442056802</v>
      </c>
      <c r="K551" s="580">
        <v>54.562383612662941</v>
      </c>
      <c r="L551" s="580">
        <v>56.667594568155209</v>
      </c>
      <c r="M551" s="580">
        <v>52.006308098805562</v>
      </c>
      <c r="N551" s="580">
        <v>66.619525939704587</v>
      </c>
    </row>
    <row r="552" spans="1:14" ht="14">
      <c r="A552" s="240"/>
      <c r="B552" s="577" t="s">
        <v>116</v>
      </c>
      <c r="C552" s="582">
        <v>50</v>
      </c>
      <c r="D552" s="582">
        <v>50.317407283661879</v>
      </c>
      <c r="E552" s="582">
        <v>58.750703432751827</v>
      </c>
      <c r="F552" s="582">
        <v>61.875447387258397</v>
      </c>
      <c r="G552" s="582">
        <v>57.853705486044269</v>
      </c>
      <c r="H552" s="582">
        <v>53.474387527839653</v>
      </c>
      <c r="I552" s="582">
        <v>81.913580246913568</v>
      </c>
      <c r="J552" s="582">
        <v>33.752904725019363</v>
      </c>
      <c r="K552" s="582">
        <v>62.007504690431503</v>
      </c>
      <c r="L552" s="582">
        <v>70.271921784295756</v>
      </c>
      <c r="M552" s="582">
        <v>58.724918220753388</v>
      </c>
      <c r="N552" s="582">
        <v>63.414662976083477</v>
      </c>
    </row>
    <row r="553" spans="1:14" ht="14">
      <c r="A553" s="238">
        <v>2024</v>
      </c>
      <c r="B553" s="575" t="s">
        <v>105</v>
      </c>
      <c r="C553" s="578">
        <v>50</v>
      </c>
      <c r="D553" s="578">
        <v>62.258687258687267</v>
      </c>
      <c r="E553" s="578">
        <v>53.46551724137931</v>
      </c>
      <c r="F553" s="578">
        <v>58.367610765072271</v>
      </c>
      <c r="G553" s="578">
        <v>61.311565372479087</v>
      </c>
      <c r="H553" s="578">
        <v>25.407978241160482</v>
      </c>
      <c r="I553" s="578">
        <v>57.68335273573922</v>
      </c>
      <c r="J553" s="578">
        <v>46.286472148541122</v>
      </c>
      <c r="K553" s="578">
        <v>53.835227272727273</v>
      </c>
      <c r="L553" s="578">
        <v>68.713450292397681</v>
      </c>
      <c r="M553" s="578">
        <v>73.352680095595773</v>
      </c>
      <c r="N553" s="578">
        <v>75.692395005675365</v>
      </c>
    </row>
    <row r="554" spans="1:14" ht="14">
      <c r="A554" s="239"/>
      <c r="B554" s="576" t="s">
        <v>106</v>
      </c>
      <c r="C554" s="580">
        <v>50</v>
      </c>
      <c r="D554" s="580">
        <v>11.6627573625228</v>
      </c>
      <c r="E554" s="580">
        <v>54.207668815744817</v>
      </c>
      <c r="F554" s="580">
        <v>66.882368016401841</v>
      </c>
      <c r="G554" s="580">
        <v>46.821157822191587</v>
      </c>
      <c r="H554" s="580">
        <v>14.50617283950618</v>
      </c>
      <c r="I554" s="580">
        <v>50.710900473933648</v>
      </c>
      <c r="J554" s="580">
        <v>53.865100416824554</v>
      </c>
      <c r="K554" s="580">
        <v>58.414239482200642</v>
      </c>
      <c r="L554" s="580">
        <v>41.728395061728378</v>
      </c>
      <c r="M554" s="580">
        <v>54.058338617628408</v>
      </c>
      <c r="N554" s="580">
        <v>36.755192373169884</v>
      </c>
    </row>
    <row r="555" spans="1:14" ht="14">
      <c r="A555" s="239"/>
      <c r="B555" s="576" t="s">
        <v>107</v>
      </c>
      <c r="C555" s="580">
        <v>50</v>
      </c>
      <c r="D555" s="580">
        <v>65.983149547763617</v>
      </c>
      <c r="E555" s="580">
        <v>63.432835820895519</v>
      </c>
      <c r="F555" s="580">
        <v>80.492079979226176</v>
      </c>
      <c r="G555" s="580">
        <v>62.82730214769051</v>
      </c>
      <c r="H555" s="580">
        <v>56.745843230403807</v>
      </c>
      <c r="I555" s="580">
        <v>52.459954233409611</v>
      </c>
      <c r="J555" s="580">
        <v>59.624857900719967</v>
      </c>
      <c r="K555" s="580">
        <v>56.129032258064512</v>
      </c>
      <c r="L555" s="580">
        <v>35.749421296296298</v>
      </c>
      <c r="M555" s="580">
        <v>53.708133971291858</v>
      </c>
      <c r="N555" s="580">
        <v>57.147412052290349</v>
      </c>
    </row>
    <row r="556" spans="1:14" ht="14">
      <c r="A556" s="239"/>
      <c r="B556" s="576" t="s">
        <v>108</v>
      </c>
      <c r="C556" s="580">
        <v>50</v>
      </c>
      <c r="D556" s="580">
        <v>65.619291194738793</v>
      </c>
      <c r="E556" s="580">
        <v>59.796334012219958</v>
      </c>
      <c r="F556" s="580">
        <v>70.019292604501601</v>
      </c>
      <c r="G556" s="580">
        <v>56.624472573839668</v>
      </c>
      <c r="H556" s="580">
        <v>81.386701662292211</v>
      </c>
      <c r="I556" s="580">
        <v>53.299031476997577</v>
      </c>
      <c r="J556" s="580">
        <v>78.247914183551842</v>
      </c>
      <c r="K556" s="580">
        <v>46.794871794871803</v>
      </c>
      <c r="L556" s="580">
        <v>80.403172504957041</v>
      </c>
      <c r="M556" s="580">
        <v>57.574206755373602</v>
      </c>
      <c r="N556" s="580">
        <v>67.070853822083166</v>
      </c>
    </row>
    <row r="557" spans="1:14" ht="14">
      <c r="A557" s="239"/>
      <c r="B557" s="576" t="s">
        <v>109</v>
      </c>
      <c r="C557" s="580">
        <v>50</v>
      </c>
      <c r="D557" s="580">
        <v>63.887548262548229</v>
      </c>
      <c r="E557" s="580">
        <v>58.688811188811187</v>
      </c>
      <c r="F557" s="580">
        <v>52.787710237054689</v>
      </c>
      <c r="G557" s="580">
        <v>55.747508305647841</v>
      </c>
      <c r="H557" s="580">
        <v>25.656167979002639</v>
      </c>
      <c r="I557" s="580">
        <v>51.770186335403729</v>
      </c>
      <c r="J557" s="580">
        <v>56.915498294808643</v>
      </c>
      <c r="K557" s="580">
        <v>59.433962264150942</v>
      </c>
      <c r="L557" s="580">
        <v>57.663711752931071</v>
      </c>
      <c r="M557" s="580">
        <v>85.248447204968954</v>
      </c>
      <c r="N557" s="580">
        <v>65.355724863182743</v>
      </c>
    </row>
    <row r="558" spans="1:14" ht="14">
      <c r="A558" s="239"/>
      <c r="B558" s="576" t="s">
        <v>110</v>
      </c>
      <c r="C558" s="580">
        <v>50</v>
      </c>
      <c r="D558" s="580">
        <v>11.45452169367486</v>
      </c>
      <c r="E558" s="580">
        <v>53.18737926593689</v>
      </c>
      <c r="F558" s="580">
        <v>62.574107265958922</v>
      </c>
      <c r="G558" s="580">
        <v>53.581682457651453</v>
      </c>
      <c r="H558" s="580">
        <v>54.54943132108486</v>
      </c>
      <c r="I558" s="580">
        <v>56.227106227106233</v>
      </c>
      <c r="J558" s="580">
        <v>52.36832133383858</v>
      </c>
      <c r="K558" s="580">
        <v>44.891640866873082</v>
      </c>
      <c r="L558" s="580">
        <v>56.554798112218123</v>
      </c>
      <c r="M558" s="580">
        <v>80.543237250554341</v>
      </c>
      <c r="N558" s="580">
        <v>56.493576017130628</v>
      </c>
    </row>
    <row r="559" spans="1:14" ht="14">
      <c r="A559" s="239"/>
      <c r="B559" s="576" t="s">
        <v>117</v>
      </c>
      <c r="C559" s="580">
        <v>50</v>
      </c>
      <c r="D559" s="580">
        <v>42.350386100386139</v>
      </c>
      <c r="E559" s="580">
        <v>53.896551724137943</v>
      </c>
      <c r="F559" s="580">
        <v>62.231869254341163</v>
      </c>
      <c r="G559" s="580">
        <v>60.24828767123288</v>
      </c>
      <c r="H559" s="580">
        <v>48.184601924759413</v>
      </c>
      <c r="I559" s="580">
        <v>45.900178253119428</v>
      </c>
      <c r="J559" s="580">
        <v>52.511048613901167</v>
      </c>
      <c r="K559" s="580">
        <v>53.164556962025323</v>
      </c>
      <c r="L559" s="580">
        <v>66.936603424340575</v>
      </c>
      <c r="M559" s="580">
        <v>82.365591397849471</v>
      </c>
      <c r="N559" s="580">
        <v>58.867254308643602</v>
      </c>
    </row>
    <row r="560" spans="1:14" ht="14">
      <c r="A560" s="239"/>
      <c r="B560" s="576" t="s">
        <v>112</v>
      </c>
      <c r="C560" s="580">
        <v>50</v>
      </c>
      <c r="D560" s="580">
        <v>61.661585365853611</v>
      </c>
      <c r="E560" s="580">
        <v>50.063111391606178</v>
      </c>
      <c r="F560" s="580">
        <v>70.28511640073242</v>
      </c>
      <c r="G560" s="580">
        <v>63.87503666764448</v>
      </c>
      <c r="H560" s="580">
        <v>88.82325141776937</v>
      </c>
      <c r="I560" s="580">
        <v>52.14991284137129</v>
      </c>
      <c r="J560" s="580">
        <v>71.632024634334115</v>
      </c>
      <c r="K560" s="580">
        <v>51.829268292682933</v>
      </c>
      <c r="L560" s="580">
        <v>46.912861136999048</v>
      </c>
      <c r="M560" s="580">
        <v>80.170940170940185</v>
      </c>
      <c r="N560" s="580">
        <v>59.083790133124531</v>
      </c>
    </row>
    <row r="561" spans="1:14" ht="14">
      <c r="A561" s="239"/>
      <c r="B561" s="576" t="s">
        <v>113</v>
      </c>
      <c r="C561" s="580">
        <v>50</v>
      </c>
      <c r="D561" s="580">
        <v>60.525362318840543</v>
      </c>
      <c r="E561" s="580">
        <v>55.170239596469102</v>
      </c>
      <c r="F561" s="580">
        <v>51.290028835938678</v>
      </c>
      <c r="G561" s="580">
        <v>53.403529586237582</v>
      </c>
      <c r="H561" s="580">
        <v>20.647419072615929</v>
      </c>
      <c r="I561" s="580">
        <v>52.703471826977797</v>
      </c>
      <c r="J561" s="580">
        <v>53.575733226195247</v>
      </c>
      <c r="K561" s="580">
        <v>47.910863509749298</v>
      </c>
      <c r="L561" s="580">
        <v>50.406917599186158</v>
      </c>
      <c r="M561" s="580">
        <v>52.091726061357299</v>
      </c>
      <c r="N561" s="580">
        <v>73.726631590730989</v>
      </c>
    </row>
    <row r="562" spans="1:14" ht="14">
      <c r="A562" s="239"/>
      <c r="B562" s="576" t="s">
        <v>114</v>
      </c>
      <c r="C562" s="580">
        <v>50</v>
      </c>
      <c r="D562" s="580">
        <v>37.934362934362973</v>
      </c>
      <c r="E562" s="580">
        <v>55.128205128205131</v>
      </c>
      <c r="F562" s="580">
        <v>48.141822653367953</v>
      </c>
      <c r="G562" s="580">
        <v>44.715080439031752</v>
      </c>
      <c r="H562" s="580">
        <v>58.414396887159533</v>
      </c>
      <c r="I562" s="580">
        <v>56.544811320754711</v>
      </c>
      <c r="J562" s="580">
        <v>52.129369224588189</v>
      </c>
      <c r="K562" s="580">
        <v>43.435754189944142</v>
      </c>
      <c r="L562" s="580">
        <v>51.761449421238041</v>
      </c>
      <c r="M562" s="580">
        <v>52.936606587942819</v>
      </c>
      <c r="N562" s="580">
        <v>72.339636633296266</v>
      </c>
    </row>
    <row r="563" spans="1:14" ht="14">
      <c r="A563" s="239"/>
      <c r="B563" s="576" t="s">
        <v>115</v>
      </c>
      <c r="C563" s="580">
        <v>50</v>
      </c>
      <c r="D563" s="580">
        <v>63.193774131274147</v>
      </c>
      <c r="E563" s="580">
        <v>55.171267043565017</v>
      </c>
      <c r="F563" s="580">
        <v>44.085608099448919</v>
      </c>
      <c r="G563" s="580">
        <v>42.809988518943769</v>
      </c>
      <c r="H563" s="580">
        <v>49.562554680664917</v>
      </c>
      <c r="I563" s="580">
        <v>55.648720211826998</v>
      </c>
      <c r="J563" s="580">
        <v>52.561475409836071</v>
      </c>
      <c r="K563" s="580">
        <v>52.238805970149251</v>
      </c>
      <c r="L563" s="580">
        <v>54.065499717673617</v>
      </c>
      <c r="M563" s="580">
        <v>58.216045038705133</v>
      </c>
      <c r="N563" s="580">
        <v>60.179551862294097</v>
      </c>
    </row>
    <row r="564" spans="1:14" ht="14">
      <c r="A564" s="240"/>
      <c r="B564" s="577" t="s">
        <v>116</v>
      </c>
      <c r="C564" s="582">
        <v>50</v>
      </c>
      <c r="D564" s="582">
        <v>59.932449337002723</v>
      </c>
      <c r="E564" s="582">
        <v>52.121312562147843</v>
      </c>
      <c r="F564" s="582">
        <v>43.466317854807059</v>
      </c>
      <c r="G564" s="582">
        <v>57.109176641276747</v>
      </c>
      <c r="H564" s="582">
        <v>93.409533073929964</v>
      </c>
      <c r="I564" s="582">
        <v>66.428571428571431</v>
      </c>
      <c r="J564" s="582">
        <v>52.189634391321817</v>
      </c>
      <c r="K564" s="582">
        <v>52.846975088967973</v>
      </c>
      <c r="L564" s="582">
        <v>54.501685122773253</v>
      </c>
      <c r="M564" s="582">
        <v>49.61801367108967</v>
      </c>
      <c r="N564" s="582">
        <v>52.072444390421801</v>
      </c>
    </row>
    <row r="565" spans="1:14" ht="14">
      <c r="A565" s="238">
        <v>2025</v>
      </c>
      <c r="B565" s="575" t="s">
        <v>105</v>
      </c>
      <c r="C565" s="578">
        <v>50</v>
      </c>
      <c r="D565" s="578">
        <v>35.12842344259964</v>
      </c>
      <c r="E565" s="578">
        <v>55.801475519785377</v>
      </c>
      <c r="F565" s="578">
        <v>51.44646585147629</v>
      </c>
      <c r="G565" s="578">
        <v>71.289752650176681</v>
      </c>
      <c r="H565" s="578">
        <v>13.707165109034261</v>
      </c>
      <c r="I565" s="578">
        <v>57.096541786743508</v>
      </c>
      <c r="J565" s="578">
        <v>74.222411589262876</v>
      </c>
      <c r="K565" s="578">
        <v>64.550264550264558</v>
      </c>
      <c r="L565" s="578">
        <v>58.865339881106237</v>
      </c>
      <c r="M565" s="578">
        <v>74.005582693649686</v>
      </c>
      <c r="N565" s="578">
        <v>62.805671175858478</v>
      </c>
    </row>
    <row r="566" spans="1:14" ht="14">
      <c r="A566" s="239"/>
      <c r="B566" s="576" t="s">
        <v>106</v>
      </c>
      <c r="C566" s="580">
        <v>50</v>
      </c>
      <c r="D566" s="580">
        <v>30.060022333891698</v>
      </c>
      <c r="E566" s="580">
        <v>58.118279569892493</v>
      </c>
      <c r="F566" s="580">
        <v>53.609013247492882</v>
      </c>
      <c r="G566" s="580">
        <v>67.121507472384664</v>
      </c>
      <c r="H566" s="580">
        <v>25.423728813559329</v>
      </c>
      <c r="I566" s="580">
        <v>61.529318541996822</v>
      </c>
      <c r="J566" s="580">
        <v>53.741092636579573</v>
      </c>
      <c r="K566" s="580">
        <v>49.702380952380942</v>
      </c>
      <c r="L566" s="580">
        <v>54.732098147220832</v>
      </c>
      <c r="M566" s="580">
        <v>52.051192145862558</v>
      </c>
      <c r="N566" s="580">
        <v>68.917169974115609</v>
      </c>
    </row>
    <row r="567" spans="1:14" ht="14">
      <c r="A567" s="239"/>
      <c r="B567" s="576" t="s">
        <v>107</v>
      </c>
      <c r="C567" s="580">
        <v>50</v>
      </c>
      <c r="D567" s="580">
        <v>37.291860929798872</v>
      </c>
      <c r="E567" s="580">
        <v>62.507288629737623</v>
      </c>
      <c r="F567" s="580">
        <v>63.24524863316843</v>
      </c>
      <c r="G567" s="580">
        <v>59.584237769243607</v>
      </c>
      <c r="H567" s="580">
        <v>27.32532265242547</v>
      </c>
      <c r="I567" s="580">
        <v>50</v>
      </c>
      <c r="J567" s="580">
        <v>48.929961089494157</v>
      </c>
      <c r="K567" s="580">
        <v>60.790273556230993</v>
      </c>
      <c r="L567" s="580">
        <v>42.684861948587738</v>
      </c>
      <c r="M567" s="580">
        <v>49.345497818326074</v>
      </c>
      <c r="N567" s="580">
        <v>55.80613616917244</v>
      </c>
    </row>
    <row r="568" spans="1:14" ht="14">
      <c r="A568" s="239"/>
      <c r="B568" s="576" t="s">
        <v>108</v>
      </c>
      <c r="C568" s="580">
        <v>50</v>
      </c>
      <c r="D568" s="580">
        <v>37.913907284768229</v>
      </c>
      <c r="E568" s="580">
        <v>40.303705767623271</v>
      </c>
      <c r="F568" s="580">
        <v>64.160248615051998</v>
      </c>
      <c r="G568" s="580">
        <v>49.400177725118482</v>
      </c>
      <c r="H568" s="580">
        <v>86.321989528795797</v>
      </c>
      <c r="I568" s="580">
        <v>69.502801120448183</v>
      </c>
      <c r="J568" s="580">
        <v>61.254199328107489</v>
      </c>
      <c r="K568" s="580">
        <v>66.871165644171782</v>
      </c>
      <c r="L568" s="580">
        <v>53.993140617344437</v>
      </c>
      <c r="M568" s="580">
        <v>75.487408610885467</v>
      </c>
      <c r="N568" s="580">
        <v>53.598281417830272</v>
      </c>
    </row>
    <row r="569" spans="1:14" ht="14">
      <c r="A569" s="239"/>
      <c r="B569" s="576" t="s">
        <v>109</v>
      </c>
      <c r="C569" s="580">
        <v>50</v>
      </c>
      <c r="D569" s="580">
        <v>57.457582533210591</v>
      </c>
      <c r="E569" s="580">
        <v>56.577525661804458</v>
      </c>
      <c r="F569" s="580">
        <v>63.480885311871212</v>
      </c>
      <c r="G569" s="580">
        <v>52.51087386318703</v>
      </c>
      <c r="H569" s="580">
        <v>74.042891635355147</v>
      </c>
      <c r="I569" s="580">
        <v>52.850678733031678</v>
      </c>
      <c r="J569" s="580">
        <v>53.070338667659108</v>
      </c>
      <c r="K569" s="580">
        <v>60.031847133757957</v>
      </c>
      <c r="L569" s="580">
        <v>55.646999240314003</v>
      </c>
      <c r="M569" s="580">
        <v>58.55181023720349</v>
      </c>
      <c r="N569" s="580">
        <v>49.138242754112063</v>
      </c>
    </row>
    <row r="570" spans="1:14" ht="14">
      <c r="A570" s="239"/>
      <c r="B570" s="576" t="s">
        <v>110</v>
      </c>
      <c r="C570" s="584">
        <v>50</v>
      </c>
      <c r="D570" s="594">
        <v>37.304257797334003</v>
      </c>
      <c r="E570" s="594">
        <v>61.461888509670089</v>
      </c>
      <c r="F570" s="594">
        <v>55.120262390670547</v>
      </c>
      <c r="G570" s="594">
        <v>67.365172189733599</v>
      </c>
      <c r="H570" s="594">
        <v>74.500057455118224</v>
      </c>
      <c r="I570" s="594">
        <v>55.869932432432442</v>
      </c>
      <c r="J570" s="594">
        <v>62.641083521444713</v>
      </c>
      <c r="K570" s="594">
        <v>55.379746835443044</v>
      </c>
      <c r="L570" s="594">
        <v>55.4685460715218</v>
      </c>
      <c r="M570" s="594">
        <v>52.043132803632233</v>
      </c>
      <c r="N570" s="594">
        <v>78.514934361798339</v>
      </c>
    </row>
    <row r="571" spans="1:14" ht="14">
      <c r="A571" s="239"/>
      <c r="B571" s="576" t="s">
        <v>117</v>
      </c>
      <c r="C571" s="584">
        <v>50</v>
      </c>
      <c r="D571" s="594">
        <v>3.5212247738343829</v>
      </c>
      <c r="E571" s="594">
        <v>51.518691588785053</v>
      </c>
      <c r="F571" s="594">
        <v>51.590054929170293</v>
      </c>
      <c r="G571" s="594">
        <v>51.380538855488751</v>
      </c>
      <c r="H571" s="594">
        <v>87.420055538726359</v>
      </c>
      <c r="I571" s="594">
        <v>50.472103004291853</v>
      </c>
      <c r="J571" s="594">
        <v>58.557046979865767</v>
      </c>
      <c r="K571" s="594">
        <v>57.453416149068318</v>
      </c>
      <c r="L571" s="594">
        <v>73.798932384341612</v>
      </c>
      <c r="M571" s="594">
        <v>51.478392721758908</v>
      </c>
      <c r="N571" s="594">
        <v>71.341297142173488</v>
      </c>
    </row>
    <row r="572" spans="1:14" ht="14">
      <c r="A572" s="239"/>
      <c r="B572" s="576" t="s">
        <v>112</v>
      </c>
      <c r="C572" s="584">
        <v>50</v>
      </c>
      <c r="D572" s="594">
        <v>71.531731703930006</v>
      </c>
      <c r="E572" s="594">
        <v>64.143142286854882</v>
      </c>
      <c r="F572" s="594">
        <v>62.269241692700923</v>
      </c>
      <c r="G572" s="594">
        <v>44.017094017094017</v>
      </c>
      <c r="H572" s="594">
        <v>87.49699946515733</v>
      </c>
      <c r="I572" s="594">
        <v>57.551724137931053</v>
      </c>
      <c r="J572" s="594">
        <v>58.239700374531822</v>
      </c>
      <c r="K572" s="594">
        <v>58.849557522123888</v>
      </c>
      <c r="L572" s="594">
        <v>63.553597650513929</v>
      </c>
      <c r="M572" s="594">
        <v>53.501790688420208</v>
      </c>
      <c r="N572" s="594">
        <v>61.866379760098063</v>
      </c>
    </row>
    <row r="573" spans="1:14" ht="14">
      <c r="A573" s="239"/>
      <c r="B573" s="576" t="s">
        <v>113</v>
      </c>
      <c r="C573" s="584">
        <v>50</v>
      </c>
      <c r="D573" s="594">
        <v>55.143638850889197</v>
      </c>
      <c r="E573" s="594">
        <v>51.204648526077087</v>
      </c>
      <c r="F573" s="594">
        <v>62.786234281932487</v>
      </c>
      <c r="G573" s="594">
        <v>54.697887427980497</v>
      </c>
      <c r="H573" s="594">
        <v>42.888904337827761</v>
      </c>
      <c r="I573" s="594">
        <v>51.012373453318332</v>
      </c>
      <c r="J573" s="594">
        <v>57.061209439528021</v>
      </c>
      <c r="K573" s="594">
        <v>52.675585284280928</v>
      </c>
      <c r="L573" s="594">
        <v>66.214765100671116</v>
      </c>
      <c r="M573" s="594">
        <v>56.446478312773579</v>
      </c>
      <c r="N573" s="594">
        <v>54.117760376089272</v>
      </c>
    </row>
    <row r="574" spans="1:14" ht="14">
      <c r="A574" s="239"/>
      <c r="B574" s="576" t="s">
        <v>114</v>
      </c>
      <c r="C574" s="584">
        <v>50</v>
      </c>
      <c r="D574" s="594">
        <v>75.295922840859276</v>
      </c>
      <c r="E574" s="594">
        <v>54.23677884615384</v>
      </c>
      <c r="F574" s="594">
        <v>49.776108623429153</v>
      </c>
      <c r="G574" s="594">
        <v>59.195064629847238</v>
      </c>
      <c r="H574" s="594">
        <v>87.425349641387086</v>
      </c>
      <c r="I574" s="594">
        <v>51.725403817914831</v>
      </c>
      <c r="J574" s="594">
        <v>54.506834133727367</v>
      </c>
      <c r="K574" s="594">
        <v>50.46153846153846</v>
      </c>
      <c r="L574" s="594">
        <v>54.787961696306454</v>
      </c>
      <c r="M574" s="594">
        <v>52.409390444810541</v>
      </c>
      <c r="N574" s="594">
        <v>71.480802794285353</v>
      </c>
    </row>
    <row r="575" spans="1:14" ht="14">
      <c r="A575" s="239"/>
      <c r="B575" s="576" t="s">
        <v>115</v>
      </c>
      <c r="C575" s="584">
        <v>50</v>
      </c>
      <c r="D575" s="594">
        <v>17.861339600470028</v>
      </c>
      <c r="E575" s="594">
        <v>56.18181818181818</v>
      </c>
      <c r="F575" s="594">
        <v>42.285714285714278</v>
      </c>
      <c r="G575" s="594">
        <v>60.825439783491213</v>
      </c>
      <c r="H575" s="594">
        <v>34.636563876651977</v>
      </c>
      <c r="I575" s="594">
        <v>55.834564254062037</v>
      </c>
      <c r="J575" s="594">
        <v>51.583949313621957</v>
      </c>
      <c r="K575" s="594">
        <v>49.002347417840383</v>
      </c>
      <c r="L575" s="594">
        <v>56.009244992295841</v>
      </c>
      <c r="M575" s="594">
        <v>47.162673392181588</v>
      </c>
      <c r="N575" s="594">
        <v>66.527196652719667</v>
      </c>
    </row>
    <row r="576" spans="1:14" ht="14">
      <c r="A576" s="240"/>
      <c r="B576" s="577" t="s">
        <v>116</v>
      </c>
      <c r="C576" s="586">
        <v>50</v>
      </c>
      <c r="D576" s="595">
        <v>63.953488372093013</v>
      </c>
      <c r="E576" s="595">
        <v>54.466623036649217</v>
      </c>
      <c r="F576" s="595">
        <v>54.549600912200681</v>
      </c>
      <c r="G576" s="595">
        <v>57.21196918115033</v>
      </c>
      <c r="H576" s="595">
        <v>80.844937268195181</v>
      </c>
      <c r="I576" s="595">
        <v>68.922108575924454</v>
      </c>
      <c r="J576" s="595">
        <v>58.860065765436609</v>
      </c>
      <c r="K576" s="595">
        <v>45.74132492113565</v>
      </c>
      <c r="L576" s="595">
        <v>62.285475094181628</v>
      </c>
      <c r="M576" s="595">
        <v>85.662033650329192</v>
      </c>
      <c r="N576" s="595">
        <v>57.237417840873043</v>
      </c>
    </row>
    <row r="577" spans="1:14" ht="14">
      <c r="A577" s="238">
        <v>2026</v>
      </c>
      <c r="B577" s="575" t="s">
        <v>105</v>
      </c>
      <c r="C577" s="684">
        <v>50</v>
      </c>
      <c r="D577" s="686">
        <v>32.403133305357393</v>
      </c>
      <c r="E577" s="686">
        <v>57.63358778625954</v>
      </c>
      <c r="F577" s="686">
        <v>54.692495768290392</v>
      </c>
      <c r="G577" s="686">
        <v>51.753360607831681</v>
      </c>
      <c r="H577" s="686">
        <v>45.391632588864432</v>
      </c>
      <c r="I577" s="686">
        <v>55.063291139240498</v>
      </c>
      <c r="J577" s="686">
        <v>33.51544837980407</v>
      </c>
      <c r="K577" s="686">
        <v>44.89051094890511</v>
      </c>
      <c r="L577" s="686">
        <v>45.387096774193552</v>
      </c>
      <c r="M577" s="686">
        <v>11.951963400686241</v>
      </c>
      <c r="N577" s="686">
        <v>64.921392476137001</v>
      </c>
    </row>
    <row r="578" spans="1:14" ht="14">
      <c r="A578" s="239"/>
      <c r="B578" s="576" t="s">
        <v>106</v>
      </c>
      <c r="C578" s="584">
        <v>50</v>
      </c>
      <c r="D578" s="594">
        <v>75.291828793774314</v>
      </c>
      <c r="E578" s="594">
        <v>60.144245845092513</v>
      </c>
      <c r="F578" s="594">
        <v>53.961864406779661</v>
      </c>
      <c r="G578" s="594">
        <v>57.890541976620618</v>
      </c>
      <c r="H578" s="594">
        <v>32.1608040201005</v>
      </c>
      <c r="I578" s="594">
        <v>53.52062588904694</v>
      </c>
      <c r="J578" s="594">
        <v>47.977839335180057</v>
      </c>
      <c r="K578" s="594">
        <v>49.668874172185433</v>
      </c>
      <c r="L578" s="594">
        <v>48.816477098063316</v>
      </c>
      <c r="M578" s="594">
        <v>53.018924601982583</v>
      </c>
      <c r="N578" s="594">
        <v>49.406254123235257</v>
      </c>
    </row>
    <row r="579" spans="1:14" ht="14">
      <c r="A579" s="240"/>
      <c r="B579" s="577" t="s">
        <v>107</v>
      </c>
      <c r="C579" s="586">
        <v>50</v>
      </c>
      <c r="D579" s="595">
        <v>88.64804322045066</v>
      </c>
      <c r="E579" s="595">
        <v>65.203813280736355</v>
      </c>
      <c r="F579" s="595">
        <v>64.419119974675525</v>
      </c>
      <c r="G579" s="595">
        <v>65.636964845109631</v>
      </c>
      <c r="H579" s="595">
        <v>86.708221024258762</v>
      </c>
      <c r="I579" s="595">
        <v>58.726812816188868</v>
      </c>
      <c r="J579" s="595">
        <v>59.449404761904759</v>
      </c>
      <c r="K579" s="595">
        <v>50.659630606860155</v>
      </c>
      <c r="L579" s="595">
        <v>53.325156718451893</v>
      </c>
      <c r="M579" s="595">
        <v>55.46334716459198</v>
      </c>
      <c r="N579" s="595">
        <v>64.013300760043421</v>
      </c>
    </row>
    <row r="581" spans="1:14" ht="14">
      <c r="A581" s="823" t="s">
        <v>354</v>
      </c>
      <c r="B581" s="823"/>
      <c r="C581" s="823"/>
      <c r="D581" s="823"/>
      <c r="E581" s="823"/>
      <c r="F581" s="823"/>
      <c r="G581" s="823"/>
      <c r="H581" s="823"/>
      <c r="I581" s="823"/>
      <c r="J581" s="823"/>
      <c r="K581" s="823"/>
      <c r="L581" s="823"/>
      <c r="M581" s="823"/>
      <c r="N581" s="823"/>
    </row>
    <row r="582" spans="1:14" ht="17.5" customHeight="1">
      <c r="A582" s="717" t="s">
        <v>98</v>
      </c>
      <c r="B582" s="718"/>
      <c r="C582" s="753" t="s">
        <v>322</v>
      </c>
      <c r="D582" s="824" t="s">
        <v>336</v>
      </c>
      <c r="E582" s="825"/>
      <c r="F582" s="825"/>
      <c r="G582" s="825"/>
      <c r="H582" s="825"/>
      <c r="I582" s="825"/>
      <c r="J582" s="825"/>
      <c r="K582" s="825"/>
      <c r="L582" s="825"/>
      <c r="M582" s="825"/>
      <c r="N582" s="826"/>
    </row>
    <row r="583" spans="1:14" ht="67" customHeight="1">
      <c r="A583" s="751"/>
      <c r="B583" s="752"/>
      <c r="C583" s="755"/>
      <c r="D583" s="376" t="s">
        <v>337</v>
      </c>
      <c r="E583" s="376" t="s">
        <v>215</v>
      </c>
      <c r="F583" s="376" t="s">
        <v>338</v>
      </c>
      <c r="G583" s="376" t="s">
        <v>339</v>
      </c>
      <c r="H583" s="376" t="s">
        <v>340</v>
      </c>
      <c r="I583" s="376" t="s">
        <v>341</v>
      </c>
      <c r="J583" s="277" t="s">
        <v>342</v>
      </c>
      <c r="K583" s="277" t="s">
        <v>343</v>
      </c>
      <c r="L583" s="277" t="s">
        <v>344</v>
      </c>
      <c r="M583" s="281" t="s">
        <v>345</v>
      </c>
      <c r="N583" s="281" t="s">
        <v>346</v>
      </c>
    </row>
    <row r="584" spans="1:14" ht="14">
      <c r="A584" s="238">
        <v>2020</v>
      </c>
      <c r="B584" s="572" t="s">
        <v>112</v>
      </c>
      <c r="C584" s="579">
        <v>50</v>
      </c>
      <c r="D584" s="578">
        <v>62.420156139105757</v>
      </c>
      <c r="E584" s="578">
        <v>59.772160911356352</v>
      </c>
      <c r="F584" s="578">
        <v>71.218104495747284</v>
      </c>
      <c r="G584" s="578">
        <v>55.414364640883967</v>
      </c>
      <c r="H584" s="578">
        <v>53.240440699935199</v>
      </c>
      <c r="I584" s="578">
        <v>60.523809523809518</v>
      </c>
      <c r="J584" s="578">
        <v>50</v>
      </c>
      <c r="K584" s="578">
        <v>78.457869634340199</v>
      </c>
      <c r="L584" s="579">
        <v>72.153746350956879</v>
      </c>
      <c r="M584" s="578">
        <v>48.051118210862633</v>
      </c>
      <c r="N584" s="578">
        <v>78.263665594855297</v>
      </c>
    </row>
    <row r="585" spans="1:14" ht="14">
      <c r="A585" s="239"/>
      <c r="B585" s="573" t="s">
        <v>113</v>
      </c>
      <c r="C585" s="581">
        <v>50</v>
      </c>
      <c r="D585" s="580">
        <v>43.417899929527813</v>
      </c>
      <c r="E585" s="580">
        <v>55.394922425952053</v>
      </c>
      <c r="F585" s="580">
        <v>63.923736181840773</v>
      </c>
      <c r="G585" s="580">
        <v>63.596769084573957</v>
      </c>
      <c r="H585" s="580">
        <v>52.475088396014122</v>
      </c>
      <c r="I585" s="580">
        <v>72.160356347438764</v>
      </c>
      <c r="J585" s="580">
        <v>57.431121459060932</v>
      </c>
      <c r="K585" s="580">
        <v>48.264984227129311</v>
      </c>
      <c r="L585" s="581">
        <v>60.20273248126928</v>
      </c>
      <c r="M585" s="580">
        <v>50.339847068819033</v>
      </c>
      <c r="N585" s="580">
        <v>62.450523864959273</v>
      </c>
    </row>
    <row r="586" spans="1:14" ht="14">
      <c r="A586" s="239"/>
      <c r="B586" s="573" t="s">
        <v>114</v>
      </c>
      <c r="C586" s="581">
        <v>50</v>
      </c>
      <c r="D586" s="580">
        <v>48.773204196933001</v>
      </c>
      <c r="E586" s="580">
        <v>61.820148331273188</v>
      </c>
      <c r="F586" s="580">
        <v>67.607579944729565</v>
      </c>
      <c r="G586" s="580">
        <v>60.264786795048153</v>
      </c>
      <c r="H586" s="580">
        <v>51.863632291013353</v>
      </c>
      <c r="I586" s="580">
        <v>56.117021276595743</v>
      </c>
      <c r="J586" s="580">
        <v>53.259604190919667</v>
      </c>
      <c r="K586" s="580">
        <v>50.552050473186121</v>
      </c>
      <c r="L586" s="581">
        <v>63.80451127819547</v>
      </c>
      <c r="M586" s="580">
        <v>57.684887459807072</v>
      </c>
      <c r="N586" s="580">
        <v>71.091284952671089</v>
      </c>
    </row>
    <row r="587" spans="1:14" ht="14">
      <c r="A587" s="239"/>
      <c r="B587" s="573" t="s">
        <v>115</v>
      </c>
      <c r="C587" s="581">
        <v>50</v>
      </c>
      <c r="D587" s="580">
        <v>51.540376536486697</v>
      </c>
      <c r="E587" s="580">
        <v>66.745144202472048</v>
      </c>
      <c r="F587" s="580">
        <v>66.502983590253606</v>
      </c>
      <c r="G587" s="580">
        <v>62.540487255316151</v>
      </c>
      <c r="H587" s="580">
        <v>52.04282770361079</v>
      </c>
      <c r="I587" s="580">
        <v>77.116864940517843</v>
      </c>
      <c r="J587" s="580">
        <v>50</v>
      </c>
      <c r="K587" s="580">
        <v>80.665610142630726</v>
      </c>
      <c r="L587" s="581">
        <v>73.599295981226135</v>
      </c>
      <c r="M587" s="580">
        <v>61.266846361185983</v>
      </c>
      <c r="N587" s="580">
        <v>63.250781159588023</v>
      </c>
    </row>
    <row r="588" spans="1:14" ht="14">
      <c r="A588" s="239"/>
      <c r="B588" s="574" t="s">
        <v>116</v>
      </c>
      <c r="C588" s="583">
        <v>50</v>
      </c>
      <c r="D588" s="582">
        <v>28.98827186661018</v>
      </c>
      <c r="E588" s="582">
        <v>58.862876254180613</v>
      </c>
      <c r="F588" s="582">
        <v>81.067221067221084</v>
      </c>
      <c r="G588" s="582">
        <v>65.188909201706281</v>
      </c>
      <c r="H588" s="582">
        <v>56.0167422392745</v>
      </c>
      <c r="I588" s="582">
        <v>66.116941529235405</v>
      </c>
      <c r="J588" s="582">
        <v>57.625145518044249</v>
      </c>
      <c r="K588" s="582">
        <v>56.035889070146823</v>
      </c>
      <c r="L588" s="583">
        <v>45.364114114114102</v>
      </c>
      <c r="M588" s="582">
        <v>40.812452543659838</v>
      </c>
      <c r="N588" s="582">
        <v>59.446737167913312</v>
      </c>
    </row>
    <row r="589" spans="1:14" ht="14">
      <c r="A589" s="238">
        <v>2021</v>
      </c>
      <c r="B589" s="573" t="s">
        <v>105</v>
      </c>
      <c r="C589" s="581">
        <v>50</v>
      </c>
      <c r="D589" s="580">
        <v>52.174858634188801</v>
      </c>
      <c r="E589" s="580">
        <v>57.186411149825787</v>
      </c>
      <c r="F589" s="580">
        <v>72.057101024890187</v>
      </c>
      <c r="G589" s="580">
        <v>59.88078862906923</v>
      </c>
      <c r="H589" s="580">
        <v>60.174995489806967</v>
      </c>
      <c r="I589" s="580">
        <v>72.530641672674875</v>
      </c>
      <c r="J589" s="580">
        <v>54.079967360261122</v>
      </c>
      <c r="K589" s="580">
        <v>56.902086677367578</v>
      </c>
      <c r="L589" s="581">
        <v>52.157829839704057</v>
      </c>
      <c r="M589" s="578">
        <v>60.41364296081278</v>
      </c>
      <c r="N589" s="578">
        <v>69.383983572895261</v>
      </c>
    </row>
    <row r="590" spans="1:14" ht="14">
      <c r="A590" s="239"/>
      <c r="B590" s="573" t="s">
        <v>106</v>
      </c>
      <c r="C590" s="581">
        <v>50</v>
      </c>
      <c r="D590" s="580">
        <v>52.226219923543958</v>
      </c>
      <c r="E590" s="580">
        <v>56.072946175637412</v>
      </c>
      <c r="F590" s="580">
        <v>71.49142102947647</v>
      </c>
      <c r="G590" s="580">
        <v>57.711289327575557</v>
      </c>
      <c r="H590" s="580">
        <v>53.791315618924173</v>
      </c>
      <c r="I590" s="580">
        <v>72.834645669291348</v>
      </c>
      <c r="J590" s="580">
        <v>75.601795185638522</v>
      </c>
      <c r="K590" s="580">
        <v>58.882235528942118</v>
      </c>
      <c r="L590" s="581">
        <v>64.664310954063595</v>
      </c>
      <c r="M590" s="580">
        <v>55.028735632183903</v>
      </c>
      <c r="N590" s="580">
        <v>56.958762886597953</v>
      </c>
    </row>
    <row r="591" spans="1:14" ht="14">
      <c r="A591" s="239"/>
      <c r="B591" s="573" t="s">
        <v>107</v>
      </c>
      <c r="C591" s="581">
        <v>50</v>
      </c>
      <c r="D591" s="580">
        <v>60.126582278481038</v>
      </c>
      <c r="E591" s="580">
        <v>63.83769802780472</v>
      </c>
      <c r="F591" s="580">
        <v>58.763916642877518</v>
      </c>
      <c r="G591" s="580">
        <v>69.709065105552597</v>
      </c>
      <c r="H591" s="580">
        <v>49.570046578287347</v>
      </c>
      <c r="I591" s="580">
        <v>85.528756957328397</v>
      </c>
      <c r="J591" s="580">
        <v>73.864959254947621</v>
      </c>
      <c r="K591" s="580">
        <v>51.203852327447827</v>
      </c>
      <c r="L591" s="581">
        <v>64.21939477303988</v>
      </c>
      <c r="M591" s="580">
        <v>68.705357142857167</v>
      </c>
      <c r="N591" s="580">
        <v>54.418634010857211</v>
      </c>
    </row>
    <row r="592" spans="1:14" ht="14">
      <c r="A592" s="239"/>
      <c r="B592" s="573" t="s">
        <v>108</v>
      </c>
      <c r="C592" s="581">
        <v>50</v>
      </c>
      <c r="D592" s="580">
        <v>49.9926953981008</v>
      </c>
      <c r="E592" s="580">
        <v>63.031550068587109</v>
      </c>
      <c r="F592" s="580">
        <v>56.698828394210871</v>
      </c>
      <c r="G592" s="580">
        <v>61.807399539741553</v>
      </c>
      <c r="H592" s="580">
        <v>54.352367688022291</v>
      </c>
      <c r="I592" s="580">
        <v>88.103599648814765</v>
      </c>
      <c r="J592" s="580">
        <v>55.613036730470768</v>
      </c>
      <c r="K592" s="580">
        <v>30.775577557755788</v>
      </c>
      <c r="L592" s="581">
        <v>61.181565109805121</v>
      </c>
      <c r="M592" s="580">
        <v>35.418359057676668</v>
      </c>
      <c r="N592" s="580">
        <v>67.227530812906821</v>
      </c>
    </row>
    <row r="593" spans="1:14" ht="14">
      <c r="A593" s="239"/>
      <c r="B593" s="573" t="s">
        <v>109</v>
      </c>
      <c r="C593" s="581">
        <v>50</v>
      </c>
      <c r="D593" s="580">
        <v>61.250959324635467</v>
      </c>
      <c r="E593" s="580">
        <v>59.965694682675817</v>
      </c>
      <c r="F593" s="580">
        <v>64.996058854440363</v>
      </c>
      <c r="G593" s="580">
        <v>53.376042302216803</v>
      </c>
      <c r="H593" s="580">
        <v>49.144634525660962</v>
      </c>
      <c r="I593" s="580">
        <v>70.02152852529602</v>
      </c>
      <c r="J593" s="580">
        <v>55.4467564259486</v>
      </c>
      <c r="K593" s="580">
        <v>53.75816993464052</v>
      </c>
      <c r="L593" s="581">
        <v>34.16044776119405</v>
      </c>
      <c r="M593" s="580">
        <v>84.685430463576168</v>
      </c>
      <c r="N593" s="580">
        <v>61.835891381345917</v>
      </c>
    </row>
    <row r="594" spans="1:14" ht="14">
      <c r="A594" s="239"/>
      <c r="B594" s="573" t="s">
        <v>110</v>
      </c>
      <c r="C594" s="581">
        <v>50</v>
      </c>
      <c r="D594" s="580">
        <v>59.597523219814263</v>
      </c>
      <c r="E594" s="580">
        <v>55.796064400715558</v>
      </c>
      <c r="F594" s="580">
        <v>64.588334980934889</v>
      </c>
      <c r="G594" s="580">
        <v>55.729729729729733</v>
      </c>
      <c r="H594" s="580">
        <v>55.196878325647383</v>
      </c>
      <c r="I594" s="580">
        <v>80.253807106598998</v>
      </c>
      <c r="J594" s="580">
        <v>58.017135862913108</v>
      </c>
      <c r="K594" s="580">
        <v>50.570962479608482</v>
      </c>
      <c r="L594" s="581">
        <v>55.314213412062422</v>
      </c>
      <c r="M594" s="580">
        <v>67.653846153846146</v>
      </c>
      <c r="N594" s="580">
        <v>60.615845014962993</v>
      </c>
    </row>
    <row r="595" spans="1:14" ht="14">
      <c r="A595" s="239"/>
      <c r="B595" s="573" t="s">
        <v>117</v>
      </c>
      <c r="C595" s="581">
        <v>50</v>
      </c>
      <c r="D595" s="580">
        <v>54.433651887827033</v>
      </c>
      <c r="E595" s="580">
        <v>55.927051671732507</v>
      </c>
      <c r="F595" s="580">
        <v>57.025432064071929</v>
      </c>
      <c r="G595" s="580">
        <v>60.331713500950777</v>
      </c>
      <c r="H595" s="580">
        <v>50.970537261698439</v>
      </c>
      <c r="I595" s="580">
        <v>81.626187961985238</v>
      </c>
      <c r="J595" s="580">
        <v>58.506731946144441</v>
      </c>
      <c r="K595" s="580">
        <v>56.698564593301427</v>
      </c>
      <c r="L595" s="581">
        <v>51.616915422885583</v>
      </c>
      <c r="M595" s="580">
        <v>30.78216989066442</v>
      </c>
      <c r="N595" s="580">
        <v>61.658065369855763</v>
      </c>
    </row>
    <row r="596" spans="1:14" ht="14">
      <c r="A596" s="239"/>
      <c r="B596" s="573" t="s">
        <v>112</v>
      </c>
      <c r="C596" s="581">
        <v>50</v>
      </c>
      <c r="D596" s="580">
        <v>51.425224521671218</v>
      </c>
      <c r="E596" s="580">
        <v>52.949729954299961</v>
      </c>
      <c r="F596" s="580">
        <v>59.272946029563407</v>
      </c>
      <c r="G596" s="580">
        <v>65.33585619678334</v>
      </c>
      <c r="H596" s="580">
        <v>52.991452991453002</v>
      </c>
      <c r="I596" s="580">
        <v>80.147835269271383</v>
      </c>
      <c r="J596" s="580">
        <v>77.226784586228689</v>
      </c>
      <c r="K596" s="580">
        <v>21.746293245469541</v>
      </c>
      <c r="L596" s="581">
        <v>43.249158249158207</v>
      </c>
      <c r="M596" s="580">
        <v>52.304147465437786</v>
      </c>
      <c r="N596" s="580">
        <v>59.146602080068376</v>
      </c>
    </row>
    <row r="597" spans="1:14" ht="14">
      <c r="A597" s="239"/>
      <c r="B597" s="573" t="s">
        <v>113</v>
      </c>
      <c r="C597" s="581">
        <v>50</v>
      </c>
      <c r="D597" s="580">
        <v>52.295365959289732</v>
      </c>
      <c r="E597" s="580">
        <v>55.764455480666903</v>
      </c>
      <c r="F597" s="580">
        <v>53.061940691349349</v>
      </c>
      <c r="G597" s="580">
        <v>59.439576789551978</v>
      </c>
      <c r="H597" s="580">
        <v>87.756410256410291</v>
      </c>
      <c r="I597" s="580">
        <v>60.919540229885087</v>
      </c>
      <c r="J597" s="580">
        <v>27.033090297251821</v>
      </c>
      <c r="K597" s="580">
        <v>56.942148760330603</v>
      </c>
      <c r="L597" s="581">
        <v>51.163282571911992</v>
      </c>
      <c r="M597" s="580">
        <v>32.575757575757542</v>
      </c>
      <c r="N597" s="580">
        <v>63.087952439237633</v>
      </c>
    </row>
    <row r="598" spans="1:14" ht="14">
      <c r="A598" s="239"/>
      <c r="B598" s="573" t="s">
        <v>114</v>
      </c>
      <c r="C598" s="581">
        <v>50</v>
      </c>
      <c r="D598" s="580">
        <v>49.958414194621568</v>
      </c>
      <c r="E598" s="580">
        <v>63.898135818908131</v>
      </c>
      <c r="F598" s="580">
        <v>57.25158562367865</v>
      </c>
      <c r="G598" s="580">
        <v>69.145356662180376</v>
      </c>
      <c r="H598" s="580">
        <v>54.303599374021907</v>
      </c>
      <c r="I598" s="580">
        <v>61.89296333002973</v>
      </c>
      <c r="J598" s="580">
        <v>57.848101265822777</v>
      </c>
      <c r="K598" s="580">
        <v>49.200710479573708</v>
      </c>
      <c r="L598" s="581">
        <v>55.708390646492461</v>
      </c>
      <c r="M598" s="580">
        <v>45.689655172413801</v>
      </c>
      <c r="N598" s="580">
        <v>55.657079294454149</v>
      </c>
    </row>
    <row r="599" spans="1:14" ht="14">
      <c r="A599" s="239"/>
      <c r="B599" s="573" t="s">
        <v>115</v>
      </c>
      <c r="C599" s="581">
        <v>50</v>
      </c>
      <c r="D599" s="580">
        <v>72.528841111693751</v>
      </c>
      <c r="E599" s="580">
        <v>68.110771321780504</v>
      </c>
      <c r="F599" s="580">
        <v>51.416552197802183</v>
      </c>
      <c r="G599" s="580">
        <v>54.505601558694593</v>
      </c>
      <c r="H599" s="580">
        <v>54.303599374021907</v>
      </c>
      <c r="I599" s="580">
        <v>70.988446726572519</v>
      </c>
      <c r="J599" s="580">
        <v>54.715189873417707</v>
      </c>
      <c r="K599" s="580">
        <v>56.321839080459782</v>
      </c>
      <c r="L599" s="581">
        <v>83.537263626251388</v>
      </c>
      <c r="M599" s="580">
        <v>75.265957446808528</v>
      </c>
      <c r="N599" s="580">
        <v>64.032782782782775</v>
      </c>
    </row>
    <row r="600" spans="1:14" ht="14">
      <c r="A600" s="240"/>
      <c r="B600" s="574" t="s">
        <v>116</v>
      </c>
      <c r="C600" s="583">
        <v>50</v>
      </c>
      <c r="D600" s="582">
        <v>59.762464108587807</v>
      </c>
      <c r="E600" s="582">
        <v>63.07968647942522</v>
      </c>
      <c r="F600" s="582">
        <v>61.911824187676942</v>
      </c>
      <c r="G600" s="582">
        <v>69.757546563904967</v>
      </c>
      <c r="H600" s="582">
        <v>49.07063197026023</v>
      </c>
      <c r="I600" s="582">
        <v>73.422029702970292</v>
      </c>
      <c r="J600" s="582">
        <v>49.53810623556582</v>
      </c>
      <c r="K600" s="582">
        <v>51.202749140893467</v>
      </c>
      <c r="L600" s="582">
        <v>44.86579275905116</v>
      </c>
      <c r="M600" s="582">
        <v>55.420353982300888</v>
      </c>
      <c r="N600" s="582">
        <v>70.705381574946799</v>
      </c>
    </row>
    <row r="601" spans="1:14" ht="14">
      <c r="A601" s="238">
        <v>2022</v>
      </c>
      <c r="B601" s="575" t="s">
        <v>105</v>
      </c>
      <c r="C601" s="578">
        <v>50</v>
      </c>
      <c r="D601" s="578">
        <v>62.912318579824877</v>
      </c>
      <c r="E601" s="578">
        <v>60.398690865813762</v>
      </c>
      <c r="F601" s="578">
        <v>76.101937329346001</v>
      </c>
      <c r="G601" s="578">
        <v>65.769593956562801</v>
      </c>
      <c r="H601" s="578">
        <v>55.959595959595937</v>
      </c>
      <c r="I601" s="578">
        <v>76.746096959737059</v>
      </c>
      <c r="J601" s="578">
        <v>52.869217081850529</v>
      </c>
      <c r="K601" s="578">
        <v>52.520325203252042</v>
      </c>
      <c r="L601" s="578">
        <v>63.399339933993431</v>
      </c>
      <c r="M601" s="578">
        <v>47.9612992398065</v>
      </c>
      <c r="N601" s="578">
        <v>65.29442082205901</v>
      </c>
    </row>
    <row r="602" spans="1:14" ht="14">
      <c r="A602" s="239"/>
      <c r="B602" s="576" t="s">
        <v>106</v>
      </c>
      <c r="C602" s="580">
        <v>50</v>
      </c>
      <c r="D602" s="580">
        <v>62.93019873969947</v>
      </c>
      <c r="E602" s="580">
        <v>69.509981851179674</v>
      </c>
      <c r="F602" s="580">
        <v>72.104456646660708</v>
      </c>
      <c r="G602" s="580">
        <v>60.880398671096337</v>
      </c>
      <c r="H602" s="580">
        <v>57.971303308090867</v>
      </c>
      <c r="I602" s="580">
        <v>73.615160349854236</v>
      </c>
      <c r="J602" s="580">
        <v>54.62633451957295</v>
      </c>
      <c r="K602" s="580">
        <v>77.831715210355981</v>
      </c>
      <c r="L602" s="580">
        <v>52.490118577075087</v>
      </c>
      <c r="M602" s="580">
        <v>57.125307125307117</v>
      </c>
      <c r="N602" s="580">
        <v>72.159600358652497</v>
      </c>
    </row>
    <row r="603" spans="1:14" ht="14">
      <c r="A603" s="239"/>
      <c r="B603" s="576" t="s">
        <v>107</v>
      </c>
      <c r="C603" s="580">
        <v>50</v>
      </c>
      <c r="D603" s="580">
        <v>57.009425878320478</v>
      </c>
      <c r="E603" s="580">
        <v>59.203693017888057</v>
      </c>
      <c r="F603" s="580">
        <v>74.298257283490742</v>
      </c>
      <c r="G603" s="580">
        <v>71.404137481674553</v>
      </c>
      <c r="H603" s="580">
        <v>86.666666666666657</v>
      </c>
      <c r="I603" s="580">
        <v>67.379879879879866</v>
      </c>
      <c r="J603" s="580">
        <v>63.211743772242002</v>
      </c>
      <c r="K603" s="580">
        <v>34.999999999999993</v>
      </c>
      <c r="L603" s="580">
        <v>60.880689469431744</v>
      </c>
      <c r="M603" s="580">
        <v>59.742441209406493</v>
      </c>
      <c r="N603" s="580">
        <v>72.038110173239971</v>
      </c>
    </row>
    <row r="604" spans="1:14" ht="14">
      <c r="A604" s="239"/>
      <c r="B604" s="576" t="s">
        <v>108</v>
      </c>
      <c r="C604" s="580">
        <v>50</v>
      </c>
      <c r="D604" s="580">
        <v>48.229958819425228</v>
      </c>
      <c r="E604" s="580">
        <v>58.414020788774351</v>
      </c>
      <c r="F604" s="580">
        <v>66.050530141112176</v>
      </c>
      <c r="G604" s="580">
        <v>56.380126946353229</v>
      </c>
      <c r="H604" s="580">
        <v>35.767444201150653</v>
      </c>
      <c r="I604" s="580">
        <v>68.039389231394097</v>
      </c>
      <c r="J604" s="580">
        <v>52.601696468823611</v>
      </c>
      <c r="K604" s="580">
        <v>53.376268210926938</v>
      </c>
      <c r="L604" s="580">
        <v>64.999932433854738</v>
      </c>
      <c r="M604" s="580">
        <v>50</v>
      </c>
      <c r="N604" s="580">
        <v>64.578107133423003</v>
      </c>
    </row>
    <row r="605" spans="1:14" ht="14">
      <c r="A605" s="239"/>
      <c r="B605" s="576" t="s">
        <v>109</v>
      </c>
      <c r="C605" s="580">
        <v>50</v>
      </c>
      <c r="D605" s="580">
        <v>59.898351307797192</v>
      </c>
      <c r="E605" s="580">
        <v>62.944304506017353</v>
      </c>
      <c r="F605" s="580">
        <v>60.968316579717523</v>
      </c>
      <c r="G605" s="580">
        <v>54.119233073696819</v>
      </c>
      <c r="H605" s="580">
        <v>48.81852551984877</v>
      </c>
      <c r="I605" s="580">
        <v>75</v>
      </c>
      <c r="J605" s="580">
        <v>72.79804270462634</v>
      </c>
      <c r="K605" s="580">
        <v>53.233830845771138</v>
      </c>
      <c r="L605" s="580">
        <v>60.569536423841051</v>
      </c>
      <c r="M605" s="580">
        <v>68.822553897180754</v>
      </c>
      <c r="N605" s="580">
        <v>75.747947824850257</v>
      </c>
    </row>
    <row r="606" spans="1:14" ht="14">
      <c r="A606" s="239"/>
      <c r="B606" s="576" t="s">
        <v>110</v>
      </c>
      <c r="C606" s="580">
        <v>50</v>
      </c>
      <c r="D606" s="580">
        <v>61.048543689320397</v>
      </c>
      <c r="E606" s="580">
        <v>64.53744493392071</v>
      </c>
      <c r="F606" s="580">
        <v>78.141694225387937</v>
      </c>
      <c r="G606" s="580">
        <v>53.519032513877868</v>
      </c>
      <c r="H606" s="580">
        <v>87.003179650238479</v>
      </c>
      <c r="I606" s="580">
        <v>64.859882005899706</v>
      </c>
      <c r="J606" s="580">
        <v>88.233985765124572</v>
      </c>
      <c r="K606" s="580">
        <v>54.620123203285416</v>
      </c>
      <c r="L606" s="580">
        <v>68.74169986719788</v>
      </c>
      <c r="M606" s="580">
        <v>71.525885558583113</v>
      </c>
      <c r="N606" s="580">
        <v>68.51140673746167</v>
      </c>
    </row>
    <row r="607" spans="1:14" ht="14">
      <c r="A607" s="239"/>
      <c r="B607" s="576" t="s">
        <v>117</v>
      </c>
      <c r="C607" s="580">
        <v>50</v>
      </c>
      <c r="D607" s="580">
        <v>51.247479838709673</v>
      </c>
      <c r="E607" s="580">
        <v>64.458214172227514</v>
      </c>
      <c r="F607" s="580">
        <v>68.970288377512375</v>
      </c>
      <c r="G607" s="580">
        <v>58.732959101844429</v>
      </c>
      <c r="H607" s="580">
        <v>87.130124777183596</v>
      </c>
      <c r="I607" s="580">
        <v>67.978723404255305</v>
      </c>
      <c r="J607" s="580">
        <v>57.580174927113703</v>
      </c>
      <c r="K607" s="580">
        <v>53.138075313807533</v>
      </c>
      <c r="L607" s="580">
        <v>42.821192052980123</v>
      </c>
      <c r="M607" s="580">
        <v>30.237154150197622</v>
      </c>
      <c r="N607" s="580">
        <v>75.301655082016609</v>
      </c>
    </row>
    <row r="608" spans="1:14" ht="14">
      <c r="A608" s="239"/>
      <c r="B608" s="576" t="s">
        <v>112</v>
      </c>
      <c r="C608" s="580">
        <v>50</v>
      </c>
      <c r="D608" s="580">
        <v>48.47962738097641</v>
      </c>
      <c r="E608" s="580">
        <v>61.990229954841361</v>
      </c>
      <c r="F608" s="580">
        <v>77.719488530585892</v>
      </c>
      <c r="G608" s="580">
        <v>60.768774873219407</v>
      </c>
      <c r="H608" s="580">
        <v>53.109442742734203</v>
      </c>
      <c r="I608" s="580">
        <v>63.808526744446382</v>
      </c>
      <c r="J608" s="580">
        <v>71.035507522838145</v>
      </c>
      <c r="K608" s="580">
        <v>52.262740359594702</v>
      </c>
      <c r="L608" s="580">
        <v>74.941587356311544</v>
      </c>
      <c r="M608" s="580">
        <v>64.076901171714923</v>
      </c>
      <c r="N608" s="580">
        <v>68.040409169570182</v>
      </c>
    </row>
    <row r="609" spans="1:14" ht="14">
      <c r="A609" s="239"/>
      <c r="B609" s="576" t="s">
        <v>113</v>
      </c>
      <c r="C609" s="580">
        <v>50</v>
      </c>
      <c r="D609" s="580">
        <v>93.190537084398983</v>
      </c>
      <c r="E609" s="580">
        <v>67.588495575221231</v>
      </c>
      <c r="F609" s="580">
        <v>68.672934648582</v>
      </c>
      <c r="G609" s="580">
        <v>52.06886574074074</v>
      </c>
      <c r="H609" s="580">
        <v>58.68100128369705</v>
      </c>
      <c r="I609" s="580">
        <v>68.854489164086701</v>
      </c>
      <c r="J609" s="580">
        <v>57.651245551601413</v>
      </c>
      <c r="K609" s="580">
        <v>51.554404145077719</v>
      </c>
      <c r="L609" s="580">
        <v>56.258023106546887</v>
      </c>
      <c r="M609" s="580">
        <v>50</v>
      </c>
      <c r="N609" s="580">
        <v>58.173245648468111</v>
      </c>
    </row>
    <row r="610" spans="1:14" ht="14">
      <c r="A610" s="239"/>
      <c r="B610" s="576" t="s">
        <v>114</v>
      </c>
      <c r="C610" s="580">
        <v>50</v>
      </c>
      <c r="D610" s="580">
        <v>74.771704180064319</v>
      </c>
      <c r="E610" s="580">
        <v>60.934528660690027</v>
      </c>
      <c r="F610" s="580">
        <v>56.831263253559527</v>
      </c>
      <c r="G610" s="580">
        <v>54.929988331388572</v>
      </c>
      <c r="H610" s="580">
        <v>80.387071029529125</v>
      </c>
      <c r="I610" s="580">
        <v>59.424829157175402</v>
      </c>
      <c r="J610" s="580">
        <v>77.992351816443588</v>
      </c>
      <c r="K610" s="580">
        <v>85.115303983228515</v>
      </c>
      <c r="L610" s="580">
        <v>58.604397431191202</v>
      </c>
      <c r="M610" s="580">
        <v>52.837997612830868</v>
      </c>
      <c r="N610" s="580">
        <v>59.139066530908003</v>
      </c>
    </row>
    <row r="611" spans="1:14" ht="14">
      <c r="A611" s="239"/>
      <c r="B611" s="576" t="s">
        <v>115</v>
      </c>
      <c r="C611" s="580">
        <v>50</v>
      </c>
      <c r="D611" s="580">
        <v>58.163921770458053</v>
      </c>
      <c r="E611" s="580">
        <v>60.736468500443657</v>
      </c>
      <c r="F611" s="580">
        <v>62.188072747779493</v>
      </c>
      <c r="G611" s="580">
        <v>69.905557573556109</v>
      </c>
      <c r="H611" s="580">
        <v>55.96026490066226</v>
      </c>
      <c r="I611" s="580">
        <v>70.893895348837191</v>
      </c>
      <c r="J611" s="580">
        <v>74.618320610687036</v>
      </c>
      <c r="K611" s="580">
        <v>75.309734513274336</v>
      </c>
      <c r="L611" s="580">
        <v>66.461694605895644</v>
      </c>
      <c r="M611" s="580">
        <v>54.081747780122271</v>
      </c>
      <c r="N611" s="580">
        <v>64.156058938539203</v>
      </c>
    </row>
    <row r="612" spans="1:14" ht="14">
      <c r="A612" s="240"/>
      <c r="B612" s="577" t="s">
        <v>116</v>
      </c>
      <c r="C612" s="582">
        <v>50</v>
      </c>
      <c r="D612" s="582">
        <v>48.356807511737088</v>
      </c>
      <c r="E612" s="582">
        <v>67.215891592238975</v>
      </c>
      <c r="F612" s="582">
        <v>61.324561403508767</v>
      </c>
      <c r="G612" s="582">
        <v>58.17459127043648</v>
      </c>
      <c r="H612" s="582">
        <v>48.115477145148361</v>
      </c>
      <c r="I612" s="582">
        <v>60.463018641010223</v>
      </c>
      <c r="J612" s="582">
        <v>54.160305343511453</v>
      </c>
      <c r="K612" s="582">
        <v>52.351916376306619</v>
      </c>
      <c r="L612" s="582">
        <v>65.132475258386762</v>
      </c>
      <c r="M612" s="582">
        <v>70.573770491803259</v>
      </c>
      <c r="N612" s="582">
        <v>74.494154346428445</v>
      </c>
    </row>
    <row r="613" spans="1:14" ht="14">
      <c r="A613" s="238">
        <v>2023</v>
      </c>
      <c r="B613" s="575" t="s">
        <v>105</v>
      </c>
      <c r="C613" s="578">
        <v>50</v>
      </c>
      <c r="D613" s="578">
        <v>50.344957350727547</v>
      </c>
      <c r="E613" s="578">
        <v>66.897600540723204</v>
      </c>
      <c r="F613" s="578">
        <v>75.362983340975092</v>
      </c>
      <c r="G613" s="578">
        <v>55.482695810564657</v>
      </c>
      <c r="H613" s="578">
        <v>18.792808219178092</v>
      </c>
      <c r="I613" s="578">
        <v>54.910438542310082</v>
      </c>
      <c r="J613" s="578">
        <v>54.182655410590947</v>
      </c>
      <c r="K613" s="578">
        <v>51.541095890410958</v>
      </c>
      <c r="L613" s="578">
        <v>42.81381714505951</v>
      </c>
      <c r="M613" s="578">
        <v>51.071540898068058</v>
      </c>
      <c r="N613" s="578">
        <v>44.198549847684873</v>
      </c>
    </row>
    <row r="614" spans="1:14" ht="14">
      <c r="A614" s="239"/>
      <c r="B614" s="576" t="s">
        <v>106</v>
      </c>
      <c r="C614" s="580">
        <v>50</v>
      </c>
      <c r="D614" s="580">
        <v>23.245125348189411</v>
      </c>
      <c r="E614" s="580">
        <v>55.006142506142503</v>
      </c>
      <c r="F614" s="580">
        <v>71.610787172011669</v>
      </c>
      <c r="G614" s="580">
        <v>69.21537926235213</v>
      </c>
      <c r="H614" s="580">
        <v>56.485034535686879</v>
      </c>
      <c r="I614" s="580">
        <v>52.87391841779975</v>
      </c>
      <c r="J614" s="580">
        <v>52.897160399079063</v>
      </c>
      <c r="K614" s="580">
        <v>50.954861111111107</v>
      </c>
      <c r="L614" s="580">
        <v>48.03154525424435</v>
      </c>
      <c r="M614" s="580">
        <v>58.655442379029793</v>
      </c>
      <c r="N614" s="580">
        <v>45.525771919924487</v>
      </c>
    </row>
    <row r="615" spans="1:14" ht="14">
      <c r="A615" s="239"/>
      <c r="B615" s="576" t="s">
        <v>107</v>
      </c>
      <c r="C615" s="580">
        <v>50</v>
      </c>
      <c r="D615" s="580">
        <v>50.344957350727547</v>
      </c>
      <c r="E615" s="580">
        <v>61.05045736205372</v>
      </c>
      <c r="F615" s="580">
        <v>62.906518885810122</v>
      </c>
      <c r="G615" s="580">
        <v>64.675255912460287</v>
      </c>
      <c r="H615" s="580">
        <v>54.819800260529753</v>
      </c>
      <c r="I615" s="580">
        <v>53.573520796719393</v>
      </c>
      <c r="J615" s="580">
        <v>71.508058326937828</v>
      </c>
      <c r="K615" s="580">
        <v>52.459016393442617</v>
      </c>
      <c r="L615" s="580">
        <v>56.779807102017472</v>
      </c>
      <c r="M615" s="580">
        <v>75.122946093034273</v>
      </c>
      <c r="N615" s="580">
        <v>59.747043651223507</v>
      </c>
    </row>
    <row r="616" spans="1:14" ht="14">
      <c r="A616" s="239"/>
      <c r="B616" s="576" t="s">
        <v>108</v>
      </c>
      <c r="C616" s="580">
        <v>50</v>
      </c>
      <c r="D616" s="580">
        <v>95.236539466806065</v>
      </c>
      <c r="E616" s="580">
        <v>51.557210561949901</v>
      </c>
      <c r="F616" s="580">
        <v>56.103286384976528</v>
      </c>
      <c r="G616" s="580">
        <v>59.698199788210381</v>
      </c>
      <c r="H616" s="580">
        <v>56.09046126287506</v>
      </c>
      <c r="I616" s="580">
        <v>64.433906342620034</v>
      </c>
      <c r="J616" s="580">
        <v>50.230237912509587</v>
      </c>
      <c r="K616" s="580">
        <v>49.813432835820898</v>
      </c>
      <c r="L616" s="580">
        <v>56.15444923559388</v>
      </c>
      <c r="M616" s="580">
        <v>74.017551341338248</v>
      </c>
      <c r="N616" s="580">
        <v>60.25217432031171</v>
      </c>
    </row>
    <row r="617" spans="1:14" ht="14">
      <c r="A617" s="239"/>
      <c r="B617" s="576" t="s">
        <v>109</v>
      </c>
      <c r="C617" s="580">
        <v>50</v>
      </c>
      <c r="D617" s="580">
        <v>68.412028488525451</v>
      </c>
      <c r="E617" s="580">
        <v>54.680299539170512</v>
      </c>
      <c r="F617" s="580">
        <v>52.459222082810541</v>
      </c>
      <c r="G617" s="580">
        <v>52.240379546652612</v>
      </c>
      <c r="H617" s="580">
        <v>84.929850024189648</v>
      </c>
      <c r="I617" s="580">
        <v>49.400119976004802</v>
      </c>
      <c r="J617" s="580">
        <v>51.918649270913278</v>
      </c>
      <c r="K617" s="580">
        <v>62.065813528336363</v>
      </c>
      <c r="L617" s="580">
        <v>48.676190975341783</v>
      </c>
      <c r="M617" s="580">
        <v>67.435145386527168</v>
      </c>
      <c r="N617" s="580">
        <v>47.189832994152447</v>
      </c>
    </row>
    <row r="618" spans="1:14" ht="14">
      <c r="A618" s="239"/>
      <c r="B618" s="576" t="s">
        <v>110</v>
      </c>
      <c r="C618" s="580">
        <v>50</v>
      </c>
      <c r="D618" s="580">
        <v>25.80313617533983</v>
      </c>
      <c r="E618" s="580">
        <v>47.49869074207993</v>
      </c>
      <c r="F618" s="580">
        <v>65.163481031553687</v>
      </c>
      <c r="G618" s="580">
        <v>56.873553021897877</v>
      </c>
      <c r="H618" s="580">
        <v>61.814791998895302</v>
      </c>
      <c r="I618" s="580">
        <v>50.267027132689229</v>
      </c>
      <c r="J618" s="580">
        <v>63.336137068547302</v>
      </c>
      <c r="K618" s="580">
        <v>50.863001222912587</v>
      </c>
      <c r="L618" s="580">
        <v>70.197313108010064</v>
      </c>
      <c r="M618" s="580">
        <v>63.741172914211973</v>
      </c>
      <c r="N618" s="580">
        <v>70.484607237989835</v>
      </c>
    </row>
    <row r="619" spans="1:14" ht="14">
      <c r="A619" s="239"/>
      <c r="B619" s="576" t="s">
        <v>117</v>
      </c>
      <c r="C619" s="580">
        <v>50</v>
      </c>
      <c r="D619" s="580">
        <v>93.997683993823983</v>
      </c>
      <c r="E619" s="580">
        <v>68.196157155147702</v>
      </c>
      <c r="F619" s="580">
        <v>71.839975093399758</v>
      </c>
      <c r="G619" s="580">
        <v>54.300567107750481</v>
      </c>
      <c r="H619" s="580">
        <v>55.084745762711869</v>
      </c>
      <c r="I619" s="580">
        <v>48.082010582010582</v>
      </c>
      <c r="J619" s="580">
        <v>52.532617037605533</v>
      </c>
      <c r="K619" s="580">
        <v>50.094876660341548</v>
      </c>
      <c r="L619" s="580">
        <v>65.503156331229121</v>
      </c>
      <c r="M619" s="580">
        <v>37.381008896442403</v>
      </c>
      <c r="N619" s="580">
        <v>71.376475268532047</v>
      </c>
    </row>
    <row r="620" spans="1:14" ht="14">
      <c r="A620" s="239"/>
      <c r="B620" s="576" t="s">
        <v>112</v>
      </c>
      <c r="C620" s="580">
        <v>50</v>
      </c>
      <c r="D620" s="580">
        <v>64.178082191780817</v>
      </c>
      <c r="E620" s="580">
        <v>54.741128563118089</v>
      </c>
      <c r="F620" s="580">
        <v>62.806558280518061</v>
      </c>
      <c r="G620" s="580">
        <v>55.179387970453753</v>
      </c>
      <c r="H620" s="580">
        <v>78.88034598750599</v>
      </c>
      <c r="I620" s="580">
        <v>50.337837837837839</v>
      </c>
      <c r="J620" s="580">
        <v>52.95471987720645</v>
      </c>
      <c r="K620" s="580">
        <v>54.065743944636679</v>
      </c>
      <c r="L620" s="580">
        <v>60.668463674238993</v>
      </c>
      <c r="M620" s="580">
        <v>76.384827508582362</v>
      </c>
      <c r="N620" s="580">
        <v>66.423898284162462</v>
      </c>
    </row>
    <row r="621" spans="1:14" ht="14">
      <c r="A621" s="239"/>
      <c r="B621" s="576" t="s">
        <v>113</v>
      </c>
      <c r="C621" s="580">
        <v>50</v>
      </c>
      <c r="D621" s="580">
        <v>50.858979112594241</v>
      </c>
      <c r="E621" s="580">
        <v>61.286804798255183</v>
      </c>
      <c r="F621" s="580">
        <v>53.319327731092443</v>
      </c>
      <c r="G621" s="580">
        <v>55.133398519346272</v>
      </c>
      <c r="H621" s="580">
        <v>50</v>
      </c>
      <c r="I621" s="580">
        <v>53.107861060329071</v>
      </c>
      <c r="J621" s="580">
        <v>50</v>
      </c>
      <c r="K621" s="580">
        <v>50.087873462214418</v>
      </c>
      <c r="L621" s="580">
        <v>51.683673469387763</v>
      </c>
      <c r="M621" s="580">
        <v>55.828996282527882</v>
      </c>
      <c r="N621" s="580">
        <v>50.672583874227669</v>
      </c>
    </row>
    <row r="622" spans="1:14" ht="14">
      <c r="A622" s="239"/>
      <c r="B622" s="576" t="s">
        <v>114</v>
      </c>
      <c r="C622" s="580">
        <v>50</v>
      </c>
      <c r="D622" s="580">
        <v>89.249770882158344</v>
      </c>
      <c r="E622" s="580">
        <v>50.581002781379723</v>
      </c>
      <c r="F622" s="580">
        <v>57.499774410988948</v>
      </c>
      <c r="G622" s="580">
        <v>54.375658152309349</v>
      </c>
      <c r="H622" s="580">
        <v>52.135192683342531</v>
      </c>
      <c r="I622" s="580">
        <v>49.258092802888733</v>
      </c>
      <c r="J622" s="580">
        <v>50.384590591546257</v>
      </c>
      <c r="K622" s="580">
        <v>49.5609000587094</v>
      </c>
      <c r="L622" s="580">
        <v>64.950636358581917</v>
      </c>
      <c r="M622" s="580">
        <v>50.06518229985339</v>
      </c>
      <c r="N622" s="580">
        <v>63.254095259035473</v>
      </c>
    </row>
    <row r="623" spans="1:14" ht="14">
      <c r="A623" s="239"/>
      <c r="B623" s="576" t="s">
        <v>115</v>
      </c>
      <c r="C623" s="580">
        <v>50</v>
      </c>
      <c r="D623" s="580">
        <v>52.171103644352549</v>
      </c>
      <c r="E623" s="580">
        <v>56.654525077052398</v>
      </c>
      <c r="F623" s="580">
        <v>54.203300940922411</v>
      </c>
      <c r="G623" s="580">
        <v>57.303268212525111</v>
      </c>
      <c r="H623" s="580">
        <v>51.00967606226336</v>
      </c>
      <c r="I623" s="580">
        <v>49.676524953789283</v>
      </c>
      <c r="J623" s="580">
        <v>34.132770529547209</v>
      </c>
      <c r="K623" s="580">
        <v>53.165735567970209</v>
      </c>
      <c r="L623" s="580">
        <v>54.061521000277807</v>
      </c>
      <c r="M623" s="580">
        <v>51.003154049402781</v>
      </c>
      <c r="N623" s="580">
        <v>69.316968906027512</v>
      </c>
    </row>
    <row r="624" spans="1:14" ht="14">
      <c r="A624" s="240"/>
      <c r="B624" s="577" t="s">
        <v>116</v>
      </c>
      <c r="C624" s="582">
        <v>50</v>
      </c>
      <c r="D624" s="582">
        <v>57.350484463748742</v>
      </c>
      <c r="E624" s="582">
        <v>59.862127180641536</v>
      </c>
      <c r="F624" s="582">
        <v>57.043664996420901</v>
      </c>
      <c r="G624" s="582">
        <v>52.685274302213671</v>
      </c>
      <c r="H624" s="582">
        <v>54.944320712694882</v>
      </c>
      <c r="I624" s="582">
        <v>78.456790123456784</v>
      </c>
      <c r="J624" s="582">
        <v>51.529821843532147</v>
      </c>
      <c r="K624" s="582">
        <v>42.026266416510339</v>
      </c>
      <c r="L624" s="582">
        <v>50.672166208371522</v>
      </c>
      <c r="M624" s="582">
        <v>63.219573061747553</v>
      </c>
      <c r="N624" s="582">
        <v>74.86071032828454</v>
      </c>
    </row>
    <row r="625" spans="1:14" ht="14">
      <c r="A625" s="238">
        <v>2024</v>
      </c>
      <c r="B625" s="575" t="s">
        <v>105</v>
      </c>
      <c r="C625" s="578">
        <v>50</v>
      </c>
      <c r="D625" s="578">
        <v>89.159025096525099</v>
      </c>
      <c r="E625" s="578">
        <v>51.793103448275858</v>
      </c>
      <c r="F625" s="578">
        <v>76.013632624280177</v>
      </c>
      <c r="G625" s="578">
        <v>56.283440801207298</v>
      </c>
      <c r="H625" s="578">
        <v>18.7216681776972</v>
      </c>
      <c r="I625" s="578">
        <v>47.118742724097793</v>
      </c>
      <c r="J625" s="578">
        <v>56.138688897309592</v>
      </c>
      <c r="K625" s="578">
        <v>55.53977272727272</v>
      </c>
      <c r="L625" s="578">
        <v>37.380732533087077</v>
      </c>
      <c r="M625" s="578">
        <v>85.080232161147165</v>
      </c>
      <c r="N625" s="578">
        <v>40.868331441543681</v>
      </c>
    </row>
    <row r="626" spans="1:14" ht="14">
      <c r="A626" s="239"/>
      <c r="B626" s="576" t="s">
        <v>106</v>
      </c>
      <c r="C626" s="580">
        <v>50</v>
      </c>
      <c r="D626" s="580">
        <v>89.848840239770652</v>
      </c>
      <c r="E626" s="580">
        <v>56.362402443162537</v>
      </c>
      <c r="F626" s="580">
        <v>62.954894925679149</v>
      </c>
      <c r="G626" s="580">
        <v>58.769813921433503</v>
      </c>
      <c r="H626" s="580">
        <v>85.897435897435884</v>
      </c>
      <c r="I626" s="580">
        <v>59.271327014218002</v>
      </c>
      <c r="J626" s="580">
        <v>56.138688897309592</v>
      </c>
      <c r="K626" s="580">
        <v>53.721682847896439</v>
      </c>
      <c r="L626" s="580">
        <v>53.287037037037031</v>
      </c>
      <c r="M626" s="580">
        <v>57.339885859226371</v>
      </c>
      <c r="N626" s="580">
        <v>63.857677902621752</v>
      </c>
    </row>
    <row r="627" spans="1:14" ht="14">
      <c r="A627" s="239"/>
      <c r="B627" s="576" t="s">
        <v>107</v>
      </c>
      <c r="C627" s="580">
        <v>50</v>
      </c>
      <c r="D627" s="580">
        <v>61.584685912526353</v>
      </c>
      <c r="E627" s="580">
        <v>54.250486696950027</v>
      </c>
      <c r="F627" s="580">
        <v>69.378083614645547</v>
      </c>
      <c r="G627" s="580">
        <v>56.40629596940277</v>
      </c>
      <c r="H627" s="580">
        <v>89.928741092636585</v>
      </c>
      <c r="I627" s="580">
        <v>58.180778032036628</v>
      </c>
      <c r="J627" s="580">
        <v>71.580143993937085</v>
      </c>
      <c r="K627" s="580">
        <v>52.58064516129032</v>
      </c>
      <c r="L627" s="580">
        <v>73.292824074074076</v>
      </c>
      <c r="M627" s="580">
        <v>55.348598769651403</v>
      </c>
      <c r="N627" s="580">
        <v>62.312679349558941</v>
      </c>
    </row>
    <row r="628" spans="1:14" ht="14">
      <c r="A628" s="239"/>
      <c r="B628" s="576" t="s">
        <v>108</v>
      </c>
      <c r="C628" s="580">
        <v>50</v>
      </c>
      <c r="D628" s="580">
        <v>63.895993179880669</v>
      </c>
      <c r="E628" s="580">
        <v>46.598778004073317</v>
      </c>
      <c r="F628" s="580">
        <v>62.115755627009648</v>
      </c>
      <c r="G628" s="580">
        <v>47.443037974683541</v>
      </c>
      <c r="H628" s="580">
        <v>19.44444444444445</v>
      </c>
      <c r="I628" s="580">
        <v>50.302663438256658</v>
      </c>
      <c r="J628" s="580">
        <v>55.005959475566158</v>
      </c>
      <c r="K628" s="580">
        <v>56.089743589743577</v>
      </c>
      <c r="L628" s="580">
        <v>55.204890945142083</v>
      </c>
      <c r="M628" s="580">
        <v>77.55032412146025</v>
      </c>
      <c r="N628" s="580">
        <v>62.393831023692428</v>
      </c>
    </row>
    <row r="629" spans="1:14" ht="14">
      <c r="A629" s="239"/>
      <c r="B629" s="576" t="s">
        <v>109</v>
      </c>
      <c r="C629" s="580">
        <v>50</v>
      </c>
      <c r="D629" s="580">
        <v>36.341698841698808</v>
      </c>
      <c r="E629" s="580">
        <v>51.3986013986014</v>
      </c>
      <c r="F629" s="580">
        <v>52.198384319957611</v>
      </c>
      <c r="G629" s="580">
        <v>52.5</v>
      </c>
      <c r="H629" s="580">
        <v>52.121609798775147</v>
      </c>
      <c r="I629" s="580">
        <v>55.77639751552794</v>
      </c>
      <c r="J629" s="580">
        <v>50.871542250852599</v>
      </c>
      <c r="K629" s="580">
        <v>44.496855345911953</v>
      </c>
      <c r="L629" s="580">
        <v>56.305404632542171</v>
      </c>
      <c r="M629" s="580">
        <v>77.298136645962757</v>
      </c>
      <c r="N629" s="580">
        <v>63.4724755875094</v>
      </c>
    </row>
    <row r="630" spans="1:14" ht="14">
      <c r="A630" s="239"/>
      <c r="B630" s="576" t="s">
        <v>110</v>
      </c>
      <c r="C630" s="580">
        <v>50</v>
      </c>
      <c r="D630" s="580">
        <v>41.041557762676462</v>
      </c>
      <c r="E630" s="580">
        <v>63.023180940115907</v>
      </c>
      <c r="F630" s="580">
        <v>51.268440645250223</v>
      </c>
      <c r="G630" s="580">
        <v>57.005455067470578</v>
      </c>
      <c r="H630" s="580">
        <v>55.380577427821521</v>
      </c>
      <c r="I630" s="580">
        <v>56.684981684981679</v>
      </c>
      <c r="J630" s="580">
        <v>52.36832133383858</v>
      </c>
      <c r="K630" s="580">
        <v>45.046439628482979</v>
      </c>
      <c r="L630" s="580">
        <v>65.849501835343474</v>
      </c>
      <c r="M630" s="580">
        <v>22.653362897265321</v>
      </c>
      <c r="N630" s="580">
        <v>61.697002141327637</v>
      </c>
    </row>
    <row r="631" spans="1:14" ht="14">
      <c r="A631" s="239"/>
      <c r="B631" s="576" t="s">
        <v>117</v>
      </c>
      <c r="C631" s="580">
        <v>50</v>
      </c>
      <c r="D631" s="580">
        <v>91.897924710424704</v>
      </c>
      <c r="E631" s="580">
        <v>52.741379310344833</v>
      </c>
      <c r="F631" s="580">
        <v>53.924072182499152</v>
      </c>
      <c r="G631" s="580">
        <v>60.57363013698631</v>
      </c>
      <c r="H631" s="580">
        <v>80.183727034120722</v>
      </c>
      <c r="I631" s="580">
        <v>51.307189542483663</v>
      </c>
      <c r="J631" s="580">
        <v>51.16512655685014</v>
      </c>
      <c r="K631" s="580">
        <v>57.120253164556956</v>
      </c>
      <c r="L631" s="580">
        <v>46.193891716797793</v>
      </c>
      <c r="M631" s="580">
        <v>77.060931899641588</v>
      </c>
      <c r="N631" s="580">
        <v>70.635442704907263</v>
      </c>
    </row>
    <row r="632" spans="1:14" ht="14">
      <c r="A632" s="239"/>
      <c r="B632" s="576" t="s">
        <v>112</v>
      </c>
      <c r="C632" s="580">
        <v>50</v>
      </c>
      <c r="D632" s="580">
        <v>63.608647450110823</v>
      </c>
      <c r="E632" s="580">
        <v>55.048911328494789</v>
      </c>
      <c r="F632" s="580">
        <v>66.936960502223386</v>
      </c>
      <c r="G632" s="580">
        <v>52.764740393077147</v>
      </c>
      <c r="H632" s="580">
        <v>82.608695652173907</v>
      </c>
      <c r="I632" s="580">
        <v>51.220220801859377</v>
      </c>
      <c r="J632" s="580">
        <v>71.632024634334115</v>
      </c>
      <c r="K632" s="580">
        <v>54.420731707317067</v>
      </c>
      <c r="L632" s="580">
        <v>59.808946877912391</v>
      </c>
      <c r="M632" s="580">
        <v>51.794871794871803</v>
      </c>
      <c r="N632" s="580">
        <v>77.07797292762055</v>
      </c>
    </row>
    <row r="633" spans="1:14" ht="14">
      <c r="A633" s="239"/>
      <c r="B633" s="576" t="s">
        <v>113</v>
      </c>
      <c r="C633" s="580">
        <v>50</v>
      </c>
      <c r="D633" s="580">
        <v>13.067632850241541</v>
      </c>
      <c r="E633" s="580">
        <v>52.537831021437583</v>
      </c>
      <c r="F633" s="580">
        <v>46.630748216724832</v>
      </c>
      <c r="G633" s="580">
        <v>59.024173216669148</v>
      </c>
      <c r="H633" s="580">
        <v>51.290463692038493</v>
      </c>
      <c r="I633" s="580">
        <v>51.963574274331251</v>
      </c>
      <c r="J633" s="580">
        <v>54.39935717155484</v>
      </c>
      <c r="K633" s="580">
        <v>50.835654596100277</v>
      </c>
      <c r="L633" s="580">
        <v>60.033062054933872</v>
      </c>
      <c r="M633" s="580">
        <v>52.401611403780599</v>
      </c>
      <c r="N633" s="580">
        <v>57.903279973133337</v>
      </c>
    </row>
    <row r="634" spans="1:14" ht="14">
      <c r="A634" s="239"/>
      <c r="B634" s="576" t="s">
        <v>114</v>
      </c>
      <c r="C634" s="580">
        <v>50</v>
      </c>
      <c r="D634" s="580">
        <v>40.419884169884213</v>
      </c>
      <c r="E634" s="580">
        <v>52.787716159809179</v>
      </c>
      <c r="F634" s="580">
        <v>38.686979095504817</v>
      </c>
      <c r="G634" s="580">
        <v>46.564426402044838</v>
      </c>
      <c r="H634" s="580">
        <v>83.973735408560302</v>
      </c>
      <c r="I634" s="580">
        <v>54.215801886792448</v>
      </c>
      <c r="J634" s="580">
        <v>49.558055443953393</v>
      </c>
      <c r="K634" s="580">
        <v>46.36871508379889</v>
      </c>
      <c r="L634" s="580">
        <v>54.051333668847512</v>
      </c>
      <c r="M634" s="580">
        <v>49.782473586078311</v>
      </c>
      <c r="N634" s="580">
        <v>60.616734643430981</v>
      </c>
    </row>
    <row r="635" spans="1:14" ht="14">
      <c r="A635" s="239"/>
      <c r="B635" s="576" t="s">
        <v>115</v>
      </c>
      <c r="C635" s="580">
        <v>50</v>
      </c>
      <c r="D635" s="580">
        <v>37.530164092664073</v>
      </c>
      <c r="E635" s="580">
        <v>61.090788160957757</v>
      </c>
      <c r="F635" s="580">
        <v>45.822119697552218</v>
      </c>
      <c r="G635" s="580">
        <v>49.87801377726754</v>
      </c>
      <c r="H635" s="580">
        <v>83.202099737532791</v>
      </c>
      <c r="I635" s="580">
        <v>57.899382171226833</v>
      </c>
      <c r="J635" s="580">
        <v>52.561475409836071</v>
      </c>
      <c r="K635" s="580">
        <v>52.537313432835823</v>
      </c>
      <c r="L635" s="580">
        <v>53.105590062111801</v>
      </c>
      <c r="M635" s="580">
        <v>81.597466572836041</v>
      </c>
      <c r="N635" s="580">
        <v>46.809615669980722</v>
      </c>
    </row>
    <row r="636" spans="1:14" ht="14">
      <c r="A636" s="240"/>
      <c r="B636" s="577" t="s">
        <v>116</v>
      </c>
      <c r="C636" s="582">
        <v>50</v>
      </c>
      <c r="D636" s="582">
        <v>38.303727795846868</v>
      </c>
      <c r="E636" s="582">
        <v>64.633742127941673</v>
      </c>
      <c r="F636" s="582">
        <v>51.236102027468917</v>
      </c>
      <c r="G636" s="582">
        <v>59.85672832789264</v>
      </c>
      <c r="H636" s="582">
        <v>7.5145914396887221</v>
      </c>
      <c r="I636" s="582">
        <v>54.844720496894404</v>
      </c>
      <c r="J636" s="582">
        <v>56.950582563278417</v>
      </c>
      <c r="K636" s="582">
        <v>56.583629893238417</v>
      </c>
      <c r="L636" s="582">
        <v>52.082330284063552</v>
      </c>
      <c r="M636" s="582">
        <v>49.215922798552477</v>
      </c>
      <c r="N636" s="582">
        <v>62.66561322474778</v>
      </c>
    </row>
    <row r="637" spans="1:14" ht="14">
      <c r="A637" s="238">
        <v>2025</v>
      </c>
      <c r="B637" s="575" t="s">
        <v>105</v>
      </c>
      <c r="C637" s="578">
        <v>50</v>
      </c>
      <c r="D637" s="578">
        <v>37.668511423300657</v>
      </c>
      <c r="E637" s="578">
        <v>44.483568075117361</v>
      </c>
      <c r="F637" s="578">
        <v>61.780495079033678</v>
      </c>
      <c r="G637" s="578">
        <v>68.384373773066358</v>
      </c>
      <c r="H637" s="578">
        <v>79.795282599020922</v>
      </c>
      <c r="I637" s="578">
        <v>46.037463976945247</v>
      </c>
      <c r="J637" s="578">
        <v>73.519386450788232</v>
      </c>
      <c r="K637" s="578">
        <v>52.910052910052897</v>
      </c>
      <c r="L637" s="578">
        <v>61.462910312742302</v>
      </c>
      <c r="M637" s="578">
        <v>48.342637822749467</v>
      </c>
      <c r="N637" s="578">
        <v>75.442247658688871</v>
      </c>
    </row>
    <row r="638" spans="1:14" ht="14">
      <c r="A638" s="239"/>
      <c r="B638" s="576" t="s">
        <v>106</v>
      </c>
      <c r="C638" s="580">
        <v>50</v>
      </c>
      <c r="D638" s="580">
        <v>35.308486878838657</v>
      </c>
      <c r="E638" s="580">
        <v>47.970430107526859</v>
      </c>
      <c r="F638" s="580">
        <v>59.260864182245868</v>
      </c>
      <c r="G638" s="580">
        <v>60.737491877842757</v>
      </c>
      <c r="H638" s="580">
        <v>13.916146297948259</v>
      </c>
      <c r="I638" s="580">
        <v>56.57686212361331</v>
      </c>
      <c r="J638" s="580">
        <v>75.277117973079953</v>
      </c>
      <c r="K638" s="580">
        <v>52.976190476190467</v>
      </c>
      <c r="L638" s="580">
        <v>35.941412118177283</v>
      </c>
      <c r="M638" s="580">
        <v>47.352734922861153</v>
      </c>
      <c r="N638" s="580">
        <v>66.681046879493834</v>
      </c>
    </row>
    <row r="639" spans="1:14" ht="14">
      <c r="A639" s="239"/>
      <c r="B639" s="576" t="s">
        <v>107</v>
      </c>
      <c r="C639" s="580">
        <v>50</v>
      </c>
      <c r="D639" s="580">
        <v>59.158119088850427</v>
      </c>
      <c r="E639" s="580">
        <v>52.653061224489797</v>
      </c>
      <c r="F639" s="580">
        <v>65.93985941161155</v>
      </c>
      <c r="G639" s="580">
        <v>56.144598430455837</v>
      </c>
      <c r="H639" s="580">
        <v>83.667111704494886</v>
      </c>
      <c r="I639" s="580">
        <v>52.473498233215551</v>
      </c>
      <c r="J639" s="580">
        <v>58.112840466926073</v>
      </c>
      <c r="K639" s="580">
        <v>56.079027355623097</v>
      </c>
      <c r="L639" s="580">
        <v>60.901301174230419</v>
      </c>
      <c r="M639" s="580">
        <v>55.295517651725511</v>
      </c>
      <c r="N639" s="580">
        <v>62.467913458012447</v>
      </c>
    </row>
    <row r="640" spans="1:14" ht="14">
      <c r="A640" s="239"/>
      <c r="B640" s="576" t="s">
        <v>108</v>
      </c>
      <c r="C640" s="580">
        <v>50</v>
      </c>
      <c r="D640" s="580">
        <v>54.247325522159983</v>
      </c>
      <c r="E640" s="580">
        <v>60.169963778211233</v>
      </c>
      <c r="F640" s="580">
        <v>65.383056343737309</v>
      </c>
      <c r="G640" s="580">
        <v>49.681575829383888</v>
      </c>
      <c r="H640" s="580">
        <v>13.59075043630018</v>
      </c>
      <c r="I640" s="580">
        <v>38.830532212885139</v>
      </c>
      <c r="J640" s="580">
        <v>57.726763717805142</v>
      </c>
      <c r="K640" s="580">
        <v>71.319018404907979</v>
      </c>
      <c r="L640" s="580">
        <v>63.412542871141582</v>
      </c>
      <c r="M640" s="580">
        <v>57.311129163281883</v>
      </c>
      <c r="N640" s="580">
        <v>70.186627282491926</v>
      </c>
    </row>
    <row r="641" spans="1:14" ht="14">
      <c r="A641" s="239"/>
      <c r="B641" s="576" t="s">
        <v>109</v>
      </c>
      <c r="C641" s="580">
        <v>50</v>
      </c>
      <c r="D641" s="580">
        <v>26.890701039063519</v>
      </c>
      <c r="E641" s="580">
        <v>53.714208535926517</v>
      </c>
      <c r="F641" s="580">
        <v>53.829644533869889</v>
      </c>
      <c r="G641" s="580">
        <v>51.18623962040332</v>
      </c>
      <c r="H641" s="580">
        <v>47.939912034551988</v>
      </c>
      <c r="I641" s="580">
        <v>49.321266968325787</v>
      </c>
      <c r="J641" s="580">
        <v>74.134722739114252</v>
      </c>
      <c r="K641" s="580">
        <v>53.184713375796179</v>
      </c>
      <c r="L641" s="580">
        <v>51.899214991136994</v>
      </c>
      <c r="M641" s="580">
        <v>51.342072409488139</v>
      </c>
      <c r="N641" s="580">
        <v>61.985856503869563</v>
      </c>
    </row>
    <row r="642" spans="1:14" ht="14">
      <c r="A642" s="239"/>
      <c r="B642" s="576" t="s">
        <v>110</v>
      </c>
      <c r="C642" s="584">
        <v>50</v>
      </c>
      <c r="D642" s="584">
        <v>60.870971916655868</v>
      </c>
      <c r="E642" s="584">
        <v>60.637087599544969</v>
      </c>
      <c r="F642" s="584">
        <v>54.470359572400412</v>
      </c>
      <c r="G642" s="584">
        <v>62.037037037037052</v>
      </c>
      <c r="H642" s="584">
        <v>87.904129957299418</v>
      </c>
      <c r="I642" s="584">
        <v>52.998310810810807</v>
      </c>
      <c r="J642" s="584">
        <v>81.264108352144461</v>
      </c>
      <c r="K642" s="584">
        <v>56.803797468354432</v>
      </c>
      <c r="L642" s="584">
        <v>57.478465152701652</v>
      </c>
      <c r="M642" s="584">
        <v>51.626939084373817</v>
      </c>
      <c r="N642" s="584">
        <v>78.550463984511026</v>
      </c>
    </row>
    <row r="643" spans="1:14" ht="14">
      <c r="A643" s="239"/>
      <c r="B643" s="576" t="s">
        <v>117</v>
      </c>
      <c r="C643" s="584">
        <v>50</v>
      </c>
      <c r="D643" s="584">
        <v>68.079331941544893</v>
      </c>
      <c r="E643" s="584">
        <v>52.278037383177583</v>
      </c>
      <c r="F643" s="584">
        <v>49.096559699335067</v>
      </c>
      <c r="G643" s="584">
        <v>52.237808951235799</v>
      </c>
      <c r="H643" s="584">
        <v>68.779283086281666</v>
      </c>
      <c r="I643" s="584">
        <v>48.798283261802567</v>
      </c>
      <c r="J643" s="584">
        <v>53.337061894108878</v>
      </c>
      <c r="K643" s="584">
        <v>57.453416149068318</v>
      </c>
      <c r="L643" s="584">
        <v>36.847568208778192</v>
      </c>
      <c r="M643" s="584">
        <v>53.203184230477639</v>
      </c>
      <c r="N643" s="584">
        <v>62.928543234441513</v>
      </c>
    </row>
    <row r="644" spans="1:14" ht="14">
      <c r="A644" s="239"/>
      <c r="B644" s="576" t="s">
        <v>112</v>
      </c>
      <c r="C644" s="584">
        <v>50</v>
      </c>
      <c r="D644" s="584">
        <v>20.830440216636571</v>
      </c>
      <c r="E644" s="584">
        <v>44.724836042201289</v>
      </c>
      <c r="F644" s="584">
        <v>66.316387389946016</v>
      </c>
      <c r="G644" s="584">
        <v>52.604802604802607</v>
      </c>
      <c r="H644" s="584">
        <v>16.053955989866321</v>
      </c>
      <c r="I644" s="584">
        <v>50.137931034482762</v>
      </c>
      <c r="J644" s="584">
        <v>52.078651685393247</v>
      </c>
      <c r="K644" s="584">
        <v>64.306784660766951</v>
      </c>
      <c r="L644" s="584">
        <v>59.13362701908958</v>
      </c>
      <c r="M644" s="584">
        <v>51.651412654198168</v>
      </c>
      <c r="N644" s="584">
        <v>55.254891415509569</v>
      </c>
    </row>
    <row r="645" spans="1:14" ht="14">
      <c r="A645" s="239"/>
      <c r="B645" s="576" t="s">
        <v>113</v>
      </c>
      <c r="C645" s="584">
        <v>50</v>
      </c>
      <c r="D645" s="584">
        <v>69.794801641586872</v>
      </c>
      <c r="E645" s="584">
        <v>52.140022675736958</v>
      </c>
      <c r="F645" s="584">
        <v>53.289212442091333</v>
      </c>
      <c r="G645" s="584">
        <v>58.634953464322642</v>
      </c>
      <c r="H645" s="584">
        <v>90.976261013512556</v>
      </c>
      <c r="I645" s="584">
        <v>51.012373453318332</v>
      </c>
      <c r="J645" s="584">
        <v>58.812684365781713</v>
      </c>
      <c r="K645" s="584">
        <v>54.180602006688957</v>
      </c>
      <c r="L645" s="584">
        <v>51.624161073825498</v>
      </c>
      <c r="M645" s="584">
        <v>49.820931157978507</v>
      </c>
      <c r="N645" s="584">
        <v>63.596159436424507</v>
      </c>
    </row>
    <row r="646" spans="1:14" ht="14">
      <c r="A646" s="239"/>
      <c r="B646" s="576" t="s">
        <v>114</v>
      </c>
      <c r="C646" s="584">
        <v>50</v>
      </c>
      <c r="D646" s="584">
        <v>47.574163378635099</v>
      </c>
      <c r="E646" s="584">
        <v>52.959735576923073</v>
      </c>
      <c r="F646" s="584">
        <v>37.613751263902962</v>
      </c>
      <c r="G646" s="584">
        <v>60.115550332941638</v>
      </c>
      <c r="H646" s="584">
        <v>88.967492669736657</v>
      </c>
      <c r="I646" s="584">
        <v>47.797356828193827</v>
      </c>
      <c r="J646" s="584">
        <v>53.103066124861471</v>
      </c>
      <c r="K646" s="584">
        <v>55.230769230769234</v>
      </c>
      <c r="L646" s="584">
        <v>66.388508891928836</v>
      </c>
      <c r="M646" s="584">
        <v>48.805601317957162</v>
      </c>
      <c r="N646" s="584">
        <v>57.065755246180991</v>
      </c>
    </row>
    <row r="647" spans="1:14" ht="14">
      <c r="A647" s="239"/>
      <c r="B647" s="576" t="s">
        <v>115</v>
      </c>
      <c r="C647" s="584">
        <v>50</v>
      </c>
      <c r="D647" s="584">
        <v>92.009400705052883</v>
      </c>
      <c r="E647" s="584">
        <v>59.393939393939391</v>
      </c>
      <c r="F647" s="584">
        <v>53.371428571428567</v>
      </c>
      <c r="G647" s="584">
        <v>61.434370771312587</v>
      </c>
      <c r="H647" s="584">
        <v>89.757709251101318</v>
      </c>
      <c r="I647" s="584">
        <v>54.135893648449041</v>
      </c>
      <c r="J647" s="584">
        <v>73.75923970432946</v>
      </c>
      <c r="K647" s="584">
        <v>62.147887323943657</v>
      </c>
      <c r="L647" s="584">
        <v>62.711864406779661</v>
      </c>
      <c r="M647" s="584">
        <v>41.803278688524593</v>
      </c>
      <c r="N647" s="584">
        <v>49.7907949790795</v>
      </c>
    </row>
    <row r="648" spans="1:14" ht="14">
      <c r="A648" s="240"/>
      <c r="B648" s="577" t="s">
        <v>116</v>
      </c>
      <c r="C648" s="586">
        <v>50</v>
      </c>
      <c r="D648" s="586">
        <v>33.508891928864578</v>
      </c>
      <c r="E648" s="586">
        <v>66.704842931937193</v>
      </c>
      <c r="F648" s="586">
        <v>55.279361459521098</v>
      </c>
      <c r="G648" s="586">
        <v>52.920623544167711</v>
      </c>
      <c r="H648" s="586">
        <v>35.15429151395476</v>
      </c>
      <c r="I648" s="586">
        <v>56.451612903225808</v>
      </c>
      <c r="J648" s="586">
        <v>49.61636828644501</v>
      </c>
      <c r="K648" s="586">
        <v>49.842271293375397</v>
      </c>
      <c r="L648" s="586">
        <v>34.010046044370057</v>
      </c>
      <c r="M648" s="586">
        <v>17.28237015362107</v>
      </c>
      <c r="N648" s="586">
        <v>72.475741407771551</v>
      </c>
    </row>
    <row r="649" spans="1:14" ht="14">
      <c r="A649" s="238">
        <v>2026</v>
      </c>
      <c r="B649" s="575" t="s">
        <v>105</v>
      </c>
      <c r="C649" s="684">
        <v>50</v>
      </c>
      <c r="D649" s="684">
        <v>60.504965729472652</v>
      </c>
      <c r="E649" s="684">
        <v>53.471464921846596</v>
      </c>
      <c r="F649" s="684">
        <v>68.901636261049461</v>
      </c>
      <c r="G649" s="684">
        <v>57.081628677186828</v>
      </c>
      <c r="H649" s="684">
        <v>16.687637621893678</v>
      </c>
      <c r="I649" s="684">
        <v>50.035161744022503</v>
      </c>
      <c r="J649" s="684">
        <v>90.599095704596834</v>
      </c>
      <c r="K649" s="684">
        <v>53.163017031630169</v>
      </c>
      <c r="L649" s="684">
        <v>36.774193548387103</v>
      </c>
      <c r="M649" s="684">
        <v>50.019062142584829</v>
      </c>
      <c r="N649" s="684">
        <v>37.619314991577767</v>
      </c>
    </row>
    <row r="650" spans="1:14" ht="14">
      <c r="A650" s="239"/>
      <c r="B650" s="576" t="s">
        <v>106</v>
      </c>
      <c r="C650" s="584">
        <v>50</v>
      </c>
      <c r="D650" s="584">
        <v>42.523624235686491</v>
      </c>
      <c r="E650" s="584">
        <v>55.142677955471932</v>
      </c>
      <c r="F650" s="584">
        <v>71.069915254237287</v>
      </c>
      <c r="G650" s="584">
        <v>56.606447042153739</v>
      </c>
      <c r="H650" s="584">
        <v>66.802763819095475</v>
      </c>
      <c r="I650" s="584">
        <v>57.503556187766712</v>
      </c>
      <c r="J650" s="584">
        <v>56.78670360110803</v>
      </c>
      <c r="K650" s="584">
        <v>46.357615894039732</v>
      </c>
      <c r="L650" s="584">
        <v>56.378727328619739</v>
      </c>
      <c r="M650" s="584">
        <v>53.244217482727549</v>
      </c>
      <c r="N650" s="584">
        <v>69.08563134978229</v>
      </c>
    </row>
    <row r="651" spans="1:14" ht="14">
      <c r="A651" s="240"/>
      <c r="B651" s="577" t="s">
        <v>107</v>
      </c>
      <c r="C651" s="586">
        <v>50</v>
      </c>
      <c r="D651" s="586">
        <v>46.501515351166162</v>
      </c>
      <c r="E651" s="586">
        <v>55.407626561472718</v>
      </c>
      <c r="F651" s="586">
        <v>56.014561570117124</v>
      </c>
      <c r="G651" s="586">
        <v>45.031326139923429</v>
      </c>
      <c r="H651" s="586">
        <v>86.388140161725062</v>
      </c>
      <c r="I651" s="586">
        <v>57.757166947723441</v>
      </c>
      <c r="J651" s="586">
        <v>55.89657738095238</v>
      </c>
      <c r="K651" s="586">
        <v>54.617414248021106</v>
      </c>
      <c r="L651" s="586">
        <v>73.126192423003545</v>
      </c>
      <c r="M651" s="586">
        <v>57.659059474412174</v>
      </c>
      <c r="N651" s="586">
        <v>60.49809989142237</v>
      </c>
    </row>
    <row r="653" spans="1:14">
      <c r="A653" s="196" t="s">
        <v>118</v>
      </c>
      <c r="B653" s="65"/>
      <c r="C653" s="65"/>
      <c r="D653" s="65"/>
      <c r="E653" s="65"/>
    </row>
  </sheetData>
  <sheetProtection sheet="1" formatCells="0" insertColumns="0" insertRows="0" deleteColumns="0" deleteRows="0"/>
  <mergeCells count="37">
    <mergeCell ref="A582:B583"/>
    <mergeCell ref="D582:N582"/>
    <mergeCell ref="A366:B367"/>
    <mergeCell ref="D366:N366"/>
    <mergeCell ref="A438:B439"/>
    <mergeCell ref="D438:N438"/>
    <mergeCell ref="A510:B511"/>
    <mergeCell ref="D510:N510"/>
    <mergeCell ref="C582:C583"/>
    <mergeCell ref="A581:N581"/>
    <mergeCell ref="C366:C367"/>
    <mergeCell ref="C438:C439"/>
    <mergeCell ref="C510:C511"/>
    <mergeCell ref="A1:N1"/>
    <mergeCell ref="A5:N5"/>
    <mergeCell ref="A77:N77"/>
    <mergeCell ref="A149:N149"/>
    <mergeCell ref="A221:N221"/>
    <mergeCell ref="D150:N150"/>
    <mergeCell ref="C78:C79"/>
    <mergeCell ref="C150:C151"/>
    <mergeCell ref="A6:B7"/>
    <mergeCell ref="A78:B79"/>
    <mergeCell ref="D78:N78"/>
    <mergeCell ref="A150:B151"/>
    <mergeCell ref="D6:N6"/>
    <mergeCell ref="C6:C7"/>
    <mergeCell ref="A365:N365"/>
    <mergeCell ref="A437:N437"/>
    <mergeCell ref="A509:N509"/>
    <mergeCell ref="A222:B223"/>
    <mergeCell ref="D222:N222"/>
    <mergeCell ref="A294:B295"/>
    <mergeCell ref="D294:N294"/>
    <mergeCell ref="A293:N293"/>
    <mergeCell ref="C222:C223"/>
    <mergeCell ref="C294:C29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9"/>
  <sheetViews>
    <sheetView zoomScaleNormal="100" workbookViewId="0">
      <pane xSplit="2" ySplit="4" topLeftCell="C188" activePane="bottomRight" state="frozen"/>
      <selection pane="topRight" activeCell="D156" sqref="D156"/>
      <selection pane="bottomLeft" activeCell="D156" sqref="D156"/>
      <selection pane="bottomRight" activeCell="C196" sqref="C196"/>
    </sheetView>
  </sheetViews>
  <sheetFormatPr defaultColWidth="9.1796875" defaultRowHeight="12.5"/>
  <cols>
    <col min="1" max="2" width="6.81640625" style="59" customWidth="1"/>
    <col min="3" max="3" width="15.81640625" style="59" customWidth="1"/>
    <col min="4" max="4" width="16.1796875" style="59" bestFit="1" customWidth="1"/>
    <col min="5" max="5" width="15.81640625" style="59" customWidth="1"/>
    <col min="6" max="6" width="20.81640625" style="59" customWidth="1"/>
    <col min="7" max="7" width="25.81640625" style="59" customWidth="1"/>
    <col min="8" max="16384" width="9.1796875" style="59"/>
  </cols>
  <sheetData>
    <row r="1" spans="1:7" ht="15.5">
      <c r="A1" s="709" t="s">
        <v>96</v>
      </c>
      <c r="B1" s="709"/>
      <c r="C1" s="709"/>
      <c r="D1" s="709"/>
      <c r="E1" s="709"/>
      <c r="F1" s="709"/>
      <c r="G1" s="709"/>
    </row>
    <row r="2" spans="1:7" s="65" customFormat="1" ht="15.75" customHeight="1">
      <c r="A2" s="733" t="s">
        <v>97</v>
      </c>
      <c r="B2" s="733"/>
      <c r="C2" s="733"/>
      <c r="D2" s="733"/>
      <c r="E2" s="733"/>
      <c r="F2" s="733"/>
      <c r="G2" s="733"/>
    </row>
    <row r="3" spans="1:7" s="117" customFormat="1" ht="15" customHeight="1">
      <c r="A3" s="732" t="s">
        <v>98</v>
      </c>
      <c r="B3" s="732"/>
      <c r="C3" s="734" t="s">
        <v>99</v>
      </c>
      <c r="D3" s="734"/>
      <c r="E3" s="734"/>
      <c r="F3" s="732" t="s">
        <v>100</v>
      </c>
      <c r="G3" s="732" t="s">
        <v>101</v>
      </c>
    </row>
    <row r="4" spans="1:7" s="117" customFormat="1" ht="15.75" customHeight="1">
      <c r="A4" s="732"/>
      <c r="B4" s="732"/>
      <c r="C4" s="244" t="s">
        <v>102</v>
      </c>
      <c r="D4" s="245" t="s">
        <v>103</v>
      </c>
      <c r="E4" s="246" t="s">
        <v>104</v>
      </c>
      <c r="F4" s="732"/>
      <c r="G4" s="732"/>
    </row>
    <row r="5" spans="1:7" s="66" customFormat="1" ht="12.75" hidden="1" customHeight="1">
      <c r="A5" s="95">
        <v>2010</v>
      </c>
      <c r="B5" s="96" t="s">
        <v>105</v>
      </c>
      <c r="C5" s="97">
        <f t="shared" ref="C5:C68" si="0">D5+E5</f>
        <v>927.57800000000009</v>
      </c>
      <c r="D5" s="97">
        <v>894.2</v>
      </c>
      <c r="E5" s="97">
        <v>33.378</v>
      </c>
      <c r="F5" s="97">
        <v>736.8</v>
      </c>
      <c r="G5" s="102">
        <f t="shared" ref="G5:G16" si="1">F5/C5</f>
        <v>0.79432673047441815</v>
      </c>
    </row>
    <row r="6" spans="1:7" s="66" customFormat="1" ht="12.75" hidden="1" customHeight="1">
      <c r="A6" s="95"/>
      <c r="B6" s="96" t="s">
        <v>106</v>
      </c>
      <c r="C6" s="97">
        <f t="shared" si="0"/>
        <v>962.11</v>
      </c>
      <c r="D6" s="97">
        <v>928.7</v>
      </c>
      <c r="E6" s="97">
        <v>33.409999999999997</v>
      </c>
      <c r="F6" s="97">
        <v>780.2</v>
      </c>
      <c r="G6" s="102">
        <f t="shared" si="1"/>
        <v>0.81092598559416285</v>
      </c>
    </row>
    <row r="7" spans="1:7" s="66" customFormat="1" ht="12.75" hidden="1" customHeight="1">
      <c r="A7" s="95"/>
      <c r="B7" s="96" t="s">
        <v>107</v>
      </c>
      <c r="C7" s="97">
        <f t="shared" si="0"/>
        <v>948.32999999999993</v>
      </c>
      <c r="D7" s="97">
        <v>914.8</v>
      </c>
      <c r="E7" s="97">
        <v>33.53</v>
      </c>
      <c r="F7" s="97">
        <v>787.7</v>
      </c>
      <c r="G7" s="102">
        <f t="shared" si="1"/>
        <v>0.83061803380679733</v>
      </c>
    </row>
    <row r="8" spans="1:7" s="66" customFormat="1" ht="12.75" hidden="1" customHeight="1">
      <c r="A8" s="95"/>
      <c r="B8" s="96" t="s">
        <v>108</v>
      </c>
      <c r="C8" s="97">
        <f t="shared" si="0"/>
        <v>921.02</v>
      </c>
      <c r="D8" s="97">
        <v>887.4</v>
      </c>
      <c r="E8" s="97">
        <v>33.619999999999997</v>
      </c>
      <c r="F8" s="97">
        <v>752.1</v>
      </c>
      <c r="G8" s="102">
        <f t="shared" si="1"/>
        <v>0.8165946450674253</v>
      </c>
    </row>
    <row r="9" spans="1:7" s="66" customFormat="1" ht="12.75" hidden="1" customHeight="1">
      <c r="A9" s="95"/>
      <c r="B9" s="96" t="s">
        <v>109</v>
      </c>
      <c r="C9" s="97">
        <f t="shared" si="0"/>
        <v>948.54</v>
      </c>
      <c r="D9" s="97">
        <v>914.9</v>
      </c>
      <c r="E9" s="97">
        <v>33.64</v>
      </c>
      <c r="F9" s="97">
        <v>783.4</v>
      </c>
      <c r="G9" s="102">
        <f t="shared" si="1"/>
        <v>0.82590085816096315</v>
      </c>
    </row>
    <row r="10" spans="1:7" s="66" customFormat="1" ht="12.75" hidden="1" customHeight="1">
      <c r="A10" s="95"/>
      <c r="B10" s="96" t="s">
        <v>110</v>
      </c>
      <c r="C10" s="97">
        <f t="shared" si="0"/>
        <v>937.83</v>
      </c>
      <c r="D10" s="97">
        <v>904.1</v>
      </c>
      <c r="E10" s="97">
        <v>33.729999999999997</v>
      </c>
      <c r="F10" s="97">
        <v>759.2</v>
      </c>
      <c r="G10" s="102">
        <f t="shared" si="1"/>
        <v>0.80952837934380428</v>
      </c>
    </row>
    <row r="11" spans="1:7" s="66" customFormat="1" ht="12.75" hidden="1" customHeight="1">
      <c r="A11" s="95"/>
      <c r="B11" s="96" t="s">
        <v>111</v>
      </c>
      <c r="C11" s="97">
        <f t="shared" si="0"/>
        <v>948.33</v>
      </c>
      <c r="D11" s="97">
        <v>914.46</v>
      </c>
      <c r="E11" s="97">
        <v>33.869999999999997</v>
      </c>
      <c r="F11" s="97">
        <v>764.7</v>
      </c>
      <c r="G11" s="102">
        <f t="shared" si="1"/>
        <v>0.80636487298725124</v>
      </c>
    </row>
    <row r="12" spans="1:7" s="66" customFormat="1" ht="12.75" hidden="1" customHeight="1">
      <c r="A12" s="95"/>
      <c r="B12" s="96" t="s">
        <v>112</v>
      </c>
      <c r="C12" s="97">
        <f t="shared" si="0"/>
        <v>972.99</v>
      </c>
      <c r="D12" s="97">
        <v>939.04</v>
      </c>
      <c r="E12" s="97">
        <v>33.950000000000003</v>
      </c>
      <c r="F12" s="97">
        <v>772.1</v>
      </c>
      <c r="G12" s="102">
        <f t="shared" si="1"/>
        <v>0.79353333538885296</v>
      </c>
    </row>
    <row r="13" spans="1:7" s="66" customFormat="1" ht="12.75" hidden="1" customHeight="1">
      <c r="A13" s="95"/>
      <c r="B13" s="96" t="s">
        <v>113</v>
      </c>
      <c r="C13" s="97">
        <f t="shared" si="0"/>
        <v>939.49</v>
      </c>
      <c r="D13" s="97">
        <v>905.76</v>
      </c>
      <c r="E13" s="97">
        <v>33.729999999999997</v>
      </c>
      <c r="F13" s="97">
        <v>759.5</v>
      </c>
      <c r="G13" s="102">
        <f t="shared" si="1"/>
        <v>0.8084173328082257</v>
      </c>
    </row>
    <row r="14" spans="1:7" s="66" customFormat="1" ht="12.75" hidden="1" customHeight="1">
      <c r="A14" s="95"/>
      <c r="B14" s="96" t="s">
        <v>114</v>
      </c>
      <c r="C14" s="97">
        <f t="shared" si="0"/>
        <v>951.88</v>
      </c>
      <c r="D14" s="97">
        <v>917.73</v>
      </c>
      <c r="E14" s="97">
        <v>34.15</v>
      </c>
      <c r="F14" s="97">
        <v>770.8</v>
      </c>
      <c r="G14" s="102">
        <f t="shared" si="1"/>
        <v>0.8097659368828003</v>
      </c>
    </row>
    <row r="15" spans="1:7" s="66" customFormat="1" ht="12.75" hidden="1" customHeight="1">
      <c r="A15" s="95"/>
      <c r="B15" s="96" t="s">
        <v>115</v>
      </c>
      <c r="C15" s="97">
        <f t="shared" si="0"/>
        <v>944.67</v>
      </c>
      <c r="D15" s="97">
        <v>910.43</v>
      </c>
      <c r="E15" s="97">
        <v>34.24</v>
      </c>
      <c r="F15" s="97">
        <v>746.3</v>
      </c>
      <c r="G15" s="102">
        <f t="shared" si="1"/>
        <v>0.79001132670668062</v>
      </c>
    </row>
    <row r="16" spans="1:7" s="66" customFormat="1" ht="12.75" hidden="1" customHeight="1">
      <c r="A16" s="98"/>
      <c r="B16" s="99" t="s">
        <v>116</v>
      </c>
      <c r="C16" s="100">
        <f t="shared" si="0"/>
        <v>1023.71</v>
      </c>
      <c r="D16" s="100">
        <v>989.39</v>
      </c>
      <c r="E16" s="100">
        <v>34.32</v>
      </c>
      <c r="F16" s="100">
        <v>815.7</v>
      </c>
      <c r="G16" s="103">
        <f t="shared" si="1"/>
        <v>0.79680768967774074</v>
      </c>
    </row>
    <row r="17" spans="1:7" s="65" customFormat="1" ht="14">
      <c r="A17" s="238">
        <v>2011</v>
      </c>
      <c r="B17" s="247" t="s">
        <v>105</v>
      </c>
      <c r="C17" s="248">
        <f t="shared" si="0"/>
        <v>1002.1999999999999</v>
      </c>
      <c r="D17" s="249">
        <v>967.81</v>
      </c>
      <c r="E17" s="249">
        <v>34.39</v>
      </c>
      <c r="F17" s="249">
        <v>794.3</v>
      </c>
      <c r="G17" s="250">
        <f>F17/C17</f>
        <v>0.79255637597285977</v>
      </c>
    </row>
    <row r="18" spans="1:7" s="65" customFormat="1" ht="14">
      <c r="A18" s="239"/>
      <c r="B18" s="251" t="s">
        <v>106</v>
      </c>
      <c r="C18" s="248">
        <f t="shared" si="0"/>
        <v>979.24</v>
      </c>
      <c r="D18" s="249">
        <v>944.76</v>
      </c>
      <c r="E18" s="249">
        <v>34.479999999999997</v>
      </c>
      <c r="F18" s="249">
        <v>805.8</v>
      </c>
      <c r="G18" s="250">
        <f t="shared" ref="G18:G76" si="2">F18/C18</f>
        <v>0.82288305216290181</v>
      </c>
    </row>
    <row r="19" spans="1:7" s="65" customFormat="1" ht="14">
      <c r="A19" s="239"/>
      <c r="B19" s="251" t="s">
        <v>107</v>
      </c>
      <c r="C19" s="248">
        <f t="shared" si="0"/>
        <v>949.86</v>
      </c>
      <c r="D19" s="249">
        <v>915.26</v>
      </c>
      <c r="E19" s="249">
        <v>34.6</v>
      </c>
      <c r="F19" s="249">
        <v>770.9</v>
      </c>
      <c r="G19" s="250">
        <f>F19/C19</f>
        <v>0.81159328743183201</v>
      </c>
    </row>
    <row r="20" spans="1:7" s="65" customFormat="1" ht="14">
      <c r="A20" s="239"/>
      <c r="B20" s="251" t="s">
        <v>108</v>
      </c>
      <c r="C20" s="248">
        <f t="shared" si="0"/>
        <v>972.84999999999991</v>
      </c>
      <c r="D20" s="249">
        <v>938.16</v>
      </c>
      <c r="E20" s="249">
        <v>34.69</v>
      </c>
      <c r="F20" s="249">
        <v>804.5</v>
      </c>
      <c r="G20" s="250">
        <f t="shared" si="2"/>
        <v>0.82695173973377201</v>
      </c>
    </row>
    <row r="21" spans="1:7" s="65" customFormat="1" ht="14">
      <c r="A21" s="239"/>
      <c r="B21" s="251" t="s">
        <v>109</v>
      </c>
      <c r="C21" s="248">
        <f t="shared" si="0"/>
        <v>971.1</v>
      </c>
      <c r="D21" s="249">
        <v>936.32</v>
      </c>
      <c r="E21" s="249">
        <v>34.78</v>
      </c>
      <c r="F21" s="249">
        <v>790.7</v>
      </c>
      <c r="G21" s="250">
        <f t="shared" si="2"/>
        <v>0.81423128411080226</v>
      </c>
    </row>
    <row r="22" spans="1:7" s="65" customFormat="1" ht="14">
      <c r="A22" s="239"/>
      <c r="B22" s="251" t="s">
        <v>110</v>
      </c>
      <c r="C22" s="248">
        <f t="shared" si="0"/>
        <v>942.15</v>
      </c>
      <c r="D22" s="249">
        <v>907.31</v>
      </c>
      <c r="E22" s="249">
        <v>34.840000000000003</v>
      </c>
      <c r="F22" s="249">
        <v>757</v>
      </c>
      <c r="G22" s="250">
        <f t="shared" si="2"/>
        <v>0.80348139892798387</v>
      </c>
    </row>
    <row r="23" spans="1:7" s="65" customFormat="1" ht="14">
      <c r="A23" s="239"/>
      <c r="B23" s="251" t="s">
        <v>111</v>
      </c>
      <c r="C23" s="248">
        <f t="shared" si="0"/>
        <v>953.04</v>
      </c>
      <c r="D23" s="249">
        <v>918.01</v>
      </c>
      <c r="E23" s="249">
        <v>35.03</v>
      </c>
      <c r="F23" s="249">
        <v>774.3</v>
      </c>
      <c r="G23" s="250">
        <f t="shared" si="2"/>
        <v>0.81245278267438925</v>
      </c>
    </row>
    <row r="24" spans="1:7" s="65" customFormat="1" ht="14">
      <c r="A24" s="239"/>
      <c r="B24" s="251" t="s">
        <v>112</v>
      </c>
      <c r="C24" s="248">
        <f t="shared" si="0"/>
        <v>970.83</v>
      </c>
      <c r="D24" s="249">
        <v>935.73</v>
      </c>
      <c r="E24" s="249">
        <v>35.1</v>
      </c>
      <c r="F24" s="249">
        <v>796.6</v>
      </c>
      <c r="G24" s="250">
        <f t="shared" si="2"/>
        <v>0.82053500612877639</v>
      </c>
    </row>
    <row r="25" spans="1:7" s="65" customFormat="1" ht="14">
      <c r="A25" s="239"/>
      <c r="B25" s="251" t="s">
        <v>113</v>
      </c>
      <c r="C25" s="248">
        <f t="shared" si="0"/>
        <v>915.2</v>
      </c>
      <c r="D25" s="249">
        <v>880</v>
      </c>
      <c r="E25" s="249">
        <v>35.200000000000003</v>
      </c>
      <c r="F25" s="249">
        <v>745.6</v>
      </c>
      <c r="G25" s="250">
        <f t="shared" si="2"/>
        <v>0.81468531468531469</v>
      </c>
    </row>
    <row r="26" spans="1:7" s="65" customFormat="1" ht="14">
      <c r="A26" s="239"/>
      <c r="B26" s="251" t="s">
        <v>114</v>
      </c>
      <c r="C26" s="248">
        <f t="shared" si="0"/>
        <v>1002.48</v>
      </c>
      <c r="D26" s="249">
        <v>967.17</v>
      </c>
      <c r="E26" s="249">
        <v>35.31</v>
      </c>
      <c r="F26" s="249">
        <v>759.6</v>
      </c>
      <c r="G26" s="250">
        <f t="shared" si="2"/>
        <v>0.7577208522863299</v>
      </c>
    </row>
    <row r="27" spans="1:7" s="65" customFormat="1" ht="14">
      <c r="A27" s="239"/>
      <c r="B27" s="251" t="s">
        <v>115</v>
      </c>
      <c r="C27" s="248">
        <f t="shared" si="0"/>
        <v>1003.65</v>
      </c>
      <c r="D27" s="249">
        <v>968.25</v>
      </c>
      <c r="E27" s="249">
        <v>35.4</v>
      </c>
      <c r="F27" s="249">
        <v>759.4</v>
      </c>
      <c r="G27" s="250">
        <f t="shared" si="2"/>
        <v>0.75663827031335629</v>
      </c>
    </row>
    <row r="28" spans="1:7" s="65" customFormat="1" ht="14">
      <c r="A28" s="240"/>
      <c r="B28" s="252" t="s">
        <v>116</v>
      </c>
      <c r="C28" s="253">
        <f t="shared" si="0"/>
        <v>1689.98</v>
      </c>
      <c r="D28" s="254">
        <v>1654.46</v>
      </c>
      <c r="E28" s="254">
        <v>35.520000000000003</v>
      </c>
      <c r="F28" s="254">
        <v>1419.2</v>
      </c>
      <c r="G28" s="255">
        <f t="shared" si="2"/>
        <v>0.83977325175445861</v>
      </c>
    </row>
    <row r="29" spans="1:7" s="65" customFormat="1" ht="14">
      <c r="A29" s="238">
        <v>2012</v>
      </c>
      <c r="B29" s="247" t="s">
        <v>105</v>
      </c>
      <c r="C29" s="248">
        <f t="shared" si="0"/>
        <v>997.84</v>
      </c>
      <c r="D29" s="249">
        <v>962.2</v>
      </c>
      <c r="E29" s="249">
        <v>35.64</v>
      </c>
      <c r="F29" s="256">
        <v>767.4</v>
      </c>
      <c r="G29" s="257">
        <f t="shared" si="2"/>
        <v>0.76906117213180469</v>
      </c>
    </row>
    <row r="30" spans="1:7" s="65" customFormat="1" ht="14">
      <c r="A30" s="239"/>
      <c r="B30" s="251" t="s">
        <v>106</v>
      </c>
      <c r="C30" s="248">
        <f t="shared" si="0"/>
        <v>1125.7</v>
      </c>
      <c r="D30" s="249">
        <v>1089.9000000000001</v>
      </c>
      <c r="E30" s="249">
        <v>35.799999999999997</v>
      </c>
      <c r="F30" s="249">
        <v>863.3</v>
      </c>
      <c r="G30" s="250">
        <f t="shared" si="2"/>
        <v>0.76690059518521803</v>
      </c>
    </row>
    <row r="31" spans="1:7" s="65" customFormat="1" ht="14">
      <c r="A31" s="239"/>
      <c r="B31" s="251" t="s">
        <v>107</v>
      </c>
      <c r="C31" s="248">
        <f t="shared" si="0"/>
        <v>1238.8500000000001</v>
      </c>
      <c r="D31" s="249">
        <v>1202.93</v>
      </c>
      <c r="E31" s="249">
        <v>35.92</v>
      </c>
      <c r="F31" s="249">
        <v>865.4</v>
      </c>
      <c r="G31" s="250">
        <f t="shared" si="2"/>
        <v>0.69855107559430107</v>
      </c>
    </row>
    <row r="32" spans="1:7" s="65" customFormat="1" ht="14">
      <c r="A32" s="239"/>
      <c r="B32" s="251" t="s">
        <v>108</v>
      </c>
      <c r="C32" s="248">
        <f t="shared" si="0"/>
        <v>2346.59</v>
      </c>
      <c r="D32" s="249">
        <v>2310.56</v>
      </c>
      <c r="E32" s="249">
        <v>36.03</v>
      </c>
      <c r="F32" s="249">
        <v>1608.8</v>
      </c>
      <c r="G32" s="250">
        <f t="shared" si="2"/>
        <v>0.68559058037407461</v>
      </c>
    </row>
    <row r="33" spans="1:7" s="65" customFormat="1" ht="14">
      <c r="A33" s="239"/>
      <c r="B33" s="251" t="s">
        <v>109</v>
      </c>
      <c r="C33" s="248">
        <f t="shared" si="0"/>
        <v>2062.02</v>
      </c>
      <c r="D33" s="249">
        <v>2025.84</v>
      </c>
      <c r="E33" s="249">
        <v>36.18</v>
      </c>
      <c r="F33" s="249">
        <v>1122.2</v>
      </c>
      <c r="G33" s="250">
        <f t="shared" si="2"/>
        <v>0.54422362537705748</v>
      </c>
    </row>
    <row r="34" spans="1:7" s="65" customFormat="1" ht="14">
      <c r="A34" s="239"/>
      <c r="B34" s="251" t="s">
        <v>110</v>
      </c>
      <c r="C34" s="248">
        <f t="shared" si="0"/>
        <v>2125.1799999999998</v>
      </c>
      <c r="D34" s="249">
        <v>2088.91</v>
      </c>
      <c r="E34" s="249">
        <v>36.270000000000003</v>
      </c>
      <c r="F34" s="249">
        <v>1153.4000000000001</v>
      </c>
      <c r="G34" s="250">
        <f t="shared" si="2"/>
        <v>0.54273049812251206</v>
      </c>
    </row>
    <row r="35" spans="1:7" s="65" customFormat="1" ht="14">
      <c r="A35" s="239"/>
      <c r="B35" s="251" t="s">
        <v>111</v>
      </c>
      <c r="C35" s="248">
        <f t="shared" si="0"/>
        <v>2109.14</v>
      </c>
      <c r="D35" s="249">
        <v>2072.7399999999998</v>
      </c>
      <c r="E35" s="249">
        <v>36.4</v>
      </c>
      <c r="F35" s="249">
        <v>1065.4000000000001</v>
      </c>
      <c r="G35" s="250">
        <f t="shared" si="2"/>
        <v>0.50513479427634023</v>
      </c>
    </row>
    <row r="36" spans="1:7" s="65" customFormat="1" ht="14">
      <c r="A36" s="239"/>
      <c r="B36" s="251" t="s">
        <v>112</v>
      </c>
      <c r="C36" s="248">
        <f t="shared" si="0"/>
        <v>1848.68</v>
      </c>
      <c r="D36" s="249">
        <v>1812.19</v>
      </c>
      <c r="E36" s="249">
        <v>36.49</v>
      </c>
      <c r="F36" s="249">
        <v>1068.9000000000001</v>
      </c>
      <c r="G36" s="250">
        <f t="shared" si="2"/>
        <v>0.57819633468204346</v>
      </c>
    </row>
    <row r="37" spans="1:7" s="65" customFormat="1" ht="14">
      <c r="A37" s="239"/>
      <c r="B37" s="251" t="s">
        <v>113</v>
      </c>
      <c r="C37" s="248">
        <f t="shared" si="0"/>
        <v>1623.72</v>
      </c>
      <c r="D37" s="249">
        <v>1587.05</v>
      </c>
      <c r="E37" s="249">
        <v>36.67</v>
      </c>
      <c r="F37" s="249">
        <v>951.3</v>
      </c>
      <c r="G37" s="250">
        <f t="shared" si="2"/>
        <v>0.58587687532333155</v>
      </c>
    </row>
    <row r="38" spans="1:7" s="65" customFormat="1" ht="14">
      <c r="A38" s="239"/>
      <c r="B38" s="251" t="s">
        <v>114</v>
      </c>
      <c r="C38" s="248">
        <f t="shared" si="0"/>
        <v>1610.3899999999999</v>
      </c>
      <c r="D38" s="249">
        <v>1573.6</v>
      </c>
      <c r="E38" s="249">
        <v>36.79</v>
      </c>
      <c r="F38" s="249">
        <v>930.1</v>
      </c>
      <c r="G38" s="250">
        <f t="shared" si="2"/>
        <v>0.57756195704146207</v>
      </c>
    </row>
    <row r="39" spans="1:7" s="65" customFormat="1" ht="14">
      <c r="A39" s="239"/>
      <c r="B39" s="251" t="s">
        <v>115</v>
      </c>
      <c r="C39" s="248">
        <f t="shared" si="0"/>
        <v>1499.2</v>
      </c>
      <c r="D39" s="249">
        <v>1462.27</v>
      </c>
      <c r="E39" s="249">
        <v>36.93</v>
      </c>
      <c r="F39" s="249">
        <v>830</v>
      </c>
      <c r="G39" s="250">
        <f t="shared" si="2"/>
        <v>0.55362860192102448</v>
      </c>
    </row>
    <row r="40" spans="1:7" s="65" customFormat="1" ht="14">
      <c r="A40" s="240"/>
      <c r="B40" s="252" t="s">
        <v>116</v>
      </c>
      <c r="C40" s="253">
        <f t="shared" si="0"/>
        <v>1627.05</v>
      </c>
      <c r="D40" s="254">
        <v>1589.98</v>
      </c>
      <c r="E40" s="254">
        <v>37.07</v>
      </c>
      <c r="F40" s="254">
        <v>927.6</v>
      </c>
      <c r="G40" s="255">
        <f t="shared" si="2"/>
        <v>0.5701115515810824</v>
      </c>
    </row>
    <row r="41" spans="1:7" s="65" customFormat="1" ht="14">
      <c r="A41" s="238">
        <v>2013</v>
      </c>
      <c r="B41" s="247" t="s">
        <v>105</v>
      </c>
      <c r="C41" s="248">
        <f t="shared" si="0"/>
        <v>1621.21</v>
      </c>
      <c r="D41" s="249">
        <v>1583.99</v>
      </c>
      <c r="E41" s="249">
        <v>37.22</v>
      </c>
      <c r="F41" s="258">
        <v>851.7</v>
      </c>
      <c r="G41" s="259">
        <f t="shared" si="2"/>
        <v>0.52534835092307597</v>
      </c>
    </row>
    <row r="42" spans="1:7" s="65" customFormat="1" ht="14">
      <c r="A42" s="239"/>
      <c r="B42" s="251" t="s">
        <v>106</v>
      </c>
      <c r="C42" s="248">
        <f t="shared" si="0"/>
        <v>1127.83</v>
      </c>
      <c r="D42" s="249">
        <v>1090.52</v>
      </c>
      <c r="E42" s="249">
        <v>37.31</v>
      </c>
      <c r="F42" s="248">
        <v>935.5</v>
      </c>
      <c r="G42" s="260">
        <f t="shared" si="2"/>
        <v>0.82946898025411642</v>
      </c>
    </row>
    <row r="43" spans="1:7" s="65" customFormat="1" ht="14">
      <c r="A43" s="239"/>
      <c r="B43" s="251" t="s">
        <v>107</v>
      </c>
      <c r="C43" s="248">
        <f t="shared" si="0"/>
        <v>1129.07</v>
      </c>
      <c r="D43" s="249">
        <v>1091.58</v>
      </c>
      <c r="E43" s="249">
        <v>37.49</v>
      </c>
      <c r="F43" s="248">
        <v>919.3</v>
      </c>
      <c r="G43" s="260">
        <f t="shared" si="2"/>
        <v>0.81420992498250777</v>
      </c>
    </row>
    <row r="44" spans="1:7" s="65" customFormat="1" ht="14">
      <c r="A44" s="239"/>
      <c r="B44" s="251" t="s">
        <v>108</v>
      </c>
      <c r="C44" s="248">
        <f t="shared" si="0"/>
        <v>1129.5700000000002</v>
      </c>
      <c r="D44" s="249">
        <v>1091.9000000000001</v>
      </c>
      <c r="E44" s="249">
        <v>37.67</v>
      </c>
      <c r="F44" s="248">
        <v>912</v>
      </c>
      <c r="G44" s="260">
        <f t="shared" si="2"/>
        <v>0.80738688173375694</v>
      </c>
    </row>
    <row r="45" spans="1:7" s="65" customFormat="1" ht="14">
      <c r="A45" s="239"/>
      <c r="B45" s="251" t="s">
        <v>109</v>
      </c>
      <c r="C45" s="248">
        <f t="shared" si="0"/>
        <v>1146.26</v>
      </c>
      <c r="D45" s="249">
        <v>1108.45</v>
      </c>
      <c r="E45" s="249">
        <v>37.81</v>
      </c>
      <c r="F45" s="248">
        <v>949.5</v>
      </c>
      <c r="G45" s="260">
        <f t="shared" si="2"/>
        <v>0.82834609948877214</v>
      </c>
    </row>
    <row r="46" spans="1:7" s="65" customFormat="1" ht="14">
      <c r="A46" s="239"/>
      <c r="B46" s="251" t="s">
        <v>110</v>
      </c>
      <c r="C46" s="248">
        <f t="shared" si="0"/>
        <v>1140.3900000000001</v>
      </c>
      <c r="D46" s="249">
        <v>1102.42</v>
      </c>
      <c r="E46" s="249">
        <v>37.97</v>
      </c>
      <c r="F46" s="248">
        <v>943.8</v>
      </c>
      <c r="G46" s="260">
        <f t="shared" si="2"/>
        <v>0.82761160655565191</v>
      </c>
    </row>
    <row r="47" spans="1:7" s="65" customFormat="1" ht="14">
      <c r="A47" s="239"/>
      <c r="B47" s="251" t="s">
        <v>117</v>
      </c>
      <c r="C47" s="248">
        <f t="shared" si="0"/>
        <v>1161.6299999999999</v>
      </c>
      <c r="D47" s="249">
        <v>1123.56</v>
      </c>
      <c r="E47" s="249">
        <v>38.07</v>
      </c>
      <c r="F47" s="248">
        <v>918.6</v>
      </c>
      <c r="G47" s="260">
        <f t="shared" si="2"/>
        <v>0.79078536194829685</v>
      </c>
    </row>
    <row r="48" spans="1:7" s="65" customFormat="1" ht="14">
      <c r="A48" s="239"/>
      <c r="B48" s="251" t="s">
        <v>112</v>
      </c>
      <c r="C48" s="248">
        <f t="shared" si="0"/>
        <v>1093.4699999999998</v>
      </c>
      <c r="D48" s="249">
        <v>1055.3499999999999</v>
      </c>
      <c r="E48" s="249">
        <v>38.119999999999997</v>
      </c>
      <c r="F48" s="248">
        <v>862.3</v>
      </c>
      <c r="G48" s="260">
        <f t="shared" si="2"/>
        <v>0.78859045058392097</v>
      </c>
    </row>
    <row r="49" spans="1:7" s="65" customFormat="1" ht="14">
      <c r="A49" s="239"/>
      <c r="B49" s="251" t="s">
        <v>113</v>
      </c>
      <c r="C49" s="248">
        <f t="shared" si="0"/>
        <v>1095.92</v>
      </c>
      <c r="D49" s="249">
        <v>1057.67</v>
      </c>
      <c r="E49" s="249">
        <v>38.25</v>
      </c>
      <c r="F49" s="248">
        <v>867.6</v>
      </c>
      <c r="G49" s="260">
        <f t="shared" si="2"/>
        <v>0.79166362508212273</v>
      </c>
    </row>
    <row r="50" spans="1:7" s="65" customFormat="1" ht="14">
      <c r="A50" s="239"/>
      <c r="B50" s="251" t="s">
        <v>114</v>
      </c>
      <c r="C50" s="248">
        <f t="shared" si="0"/>
        <v>1090.97</v>
      </c>
      <c r="D50" s="249">
        <v>1052.57</v>
      </c>
      <c r="E50" s="249">
        <v>38.4</v>
      </c>
      <c r="F50" s="248">
        <v>856.1</v>
      </c>
      <c r="G50" s="260">
        <f t="shared" si="2"/>
        <v>0.78471452010596077</v>
      </c>
    </row>
    <row r="51" spans="1:7" s="65" customFormat="1" ht="14">
      <c r="A51" s="239"/>
      <c r="B51" s="251" t="s">
        <v>115</v>
      </c>
      <c r="C51" s="248">
        <f t="shared" si="0"/>
        <v>1106.0899999999999</v>
      </c>
      <c r="D51" s="249">
        <v>1067.6099999999999</v>
      </c>
      <c r="E51" s="249">
        <v>38.479999999999997</v>
      </c>
      <c r="F51" s="248">
        <v>897</v>
      </c>
      <c r="G51" s="260">
        <f t="shared" si="2"/>
        <v>0.81096474970391208</v>
      </c>
    </row>
    <row r="52" spans="1:7" s="65" customFormat="1" ht="14">
      <c r="A52" s="239"/>
      <c r="B52" s="251" t="s">
        <v>116</v>
      </c>
      <c r="C52" s="253">
        <f t="shared" si="0"/>
        <v>1219.74</v>
      </c>
      <c r="D52" s="254">
        <v>1181.1500000000001</v>
      </c>
      <c r="E52" s="254">
        <v>38.590000000000003</v>
      </c>
      <c r="F52" s="248">
        <v>958.5</v>
      </c>
      <c r="G52" s="260">
        <f t="shared" si="2"/>
        <v>0.78582320822470364</v>
      </c>
    </row>
    <row r="53" spans="1:7" s="65" customFormat="1" ht="14">
      <c r="A53" s="238">
        <v>2014</v>
      </c>
      <c r="B53" s="247" t="s">
        <v>105</v>
      </c>
      <c r="C53" s="248">
        <f t="shared" si="0"/>
        <v>1183.1200000000001</v>
      </c>
      <c r="D53" s="249">
        <v>1144.4000000000001</v>
      </c>
      <c r="E53" s="249">
        <v>38.72</v>
      </c>
      <c r="F53" s="261">
        <v>954.5</v>
      </c>
      <c r="G53" s="257">
        <f t="shared" si="2"/>
        <v>0.80676516329704506</v>
      </c>
    </row>
    <row r="54" spans="1:7" s="65" customFormat="1" ht="14">
      <c r="A54" s="239"/>
      <c r="B54" s="251" t="s">
        <v>106</v>
      </c>
      <c r="C54" s="248">
        <f t="shared" si="0"/>
        <v>1169.6999999999998</v>
      </c>
      <c r="D54" s="249">
        <v>1130.8499999999999</v>
      </c>
      <c r="E54" s="249">
        <v>38.85</v>
      </c>
      <c r="F54" s="262">
        <v>942.5</v>
      </c>
      <c r="G54" s="250">
        <f t="shared" si="2"/>
        <v>0.80576216123792443</v>
      </c>
    </row>
    <row r="55" spans="1:7" s="65" customFormat="1" ht="14">
      <c r="A55" s="239"/>
      <c r="B55" s="251" t="s">
        <v>107</v>
      </c>
      <c r="C55" s="248">
        <f t="shared" si="0"/>
        <v>1165.99</v>
      </c>
      <c r="D55" s="249">
        <v>1126.97</v>
      </c>
      <c r="E55" s="249">
        <v>39.020000000000003</v>
      </c>
      <c r="F55" s="262">
        <v>939.3</v>
      </c>
      <c r="G55" s="250">
        <f t="shared" si="2"/>
        <v>0.80558152299762431</v>
      </c>
    </row>
    <row r="56" spans="1:7" s="65" customFormat="1" ht="14">
      <c r="A56" s="239"/>
      <c r="B56" s="251" t="s">
        <v>108</v>
      </c>
      <c r="C56" s="248">
        <f t="shared" si="0"/>
        <v>1145.43</v>
      </c>
      <c r="D56" s="249">
        <v>1106.27</v>
      </c>
      <c r="E56" s="249">
        <v>39.159999999999997</v>
      </c>
      <c r="F56" s="262">
        <v>928</v>
      </c>
      <c r="G56" s="250">
        <f t="shared" si="2"/>
        <v>0.81017609107496746</v>
      </c>
    </row>
    <row r="57" spans="1:7" s="65" customFormat="1" ht="14">
      <c r="A57" s="239"/>
      <c r="B57" s="251" t="s">
        <v>109</v>
      </c>
      <c r="C57" s="248">
        <f t="shared" si="0"/>
        <v>1156.6199999999999</v>
      </c>
      <c r="D57" s="249">
        <v>1117.3699999999999</v>
      </c>
      <c r="E57" s="249">
        <v>39.25</v>
      </c>
      <c r="F57" s="262">
        <v>956.6</v>
      </c>
      <c r="G57" s="250">
        <f t="shared" si="2"/>
        <v>0.82706506890767939</v>
      </c>
    </row>
    <row r="58" spans="1:7" s="65" customFormat="1" ht="14">
      <c r="A58" s="239"/>
      <c r="B58" s="251" t="s">
        <v>110</v>
      </c>
      <c r="C58" s="248">
        <f t="shared" si="0"/>
        <v>1202.1200000000001</v>
      </c>
      <c r="D58" s="249">
        <v>1162.73</v>
      </c>
      <c r="E58" s="249">
        <v>39.39</v>
      </c>
      <c r="F58" s="262">
        <v>1000.4</v>
      </c>
      <c r="G58" s="250">
        <f t="shared" si="2"/>
        <v>0.83219645293315136</v>
      </c>
    </row>
    <row r="59" spans="1:7" s="65" customFormat="1" ht="14">
      <c r="A59" s="239"/>
      <c r="B59" s="251" t="s">
        <v>117</v>
      </c>
      <c r="C59" s="248">
        <f t="shared" si="0"/>
        <v>1245.45</v>
      </c>
      <c r="D59" s="249">
        <v>1206.03</v>
      </c>
      <c r="E59" s="249">
        <v>39.42</v>
      </c>
      <c r="F59" s="262">
        <v>1010</v>
      </c>
      <c r="G59" s="250">
        <f t="shared" si="2"/>
        <v>0.81095186478782766</v>
      </c>
    </row>
    <row r="60" spans="1:7" s="65" customFormat="1" ht="14">
      <c r="A60" s="239"/>
      <c r="B60" s="251" t="s">
        <v>112</v>
      </c>
      <c r="C60" s="248">
        <f t="shared" si="0"/>
        <v>1165.5</v>
      </c>
      <c r="D60" s="249">
        <v>1125.9100000000001</v>
      </c>
      <c r="E60" s="249">
        <v>39.590000000000003</v>
      </c>
      <c r="F60" s="262">
        <v>956.2</v>
      </c>
      <c r="G60" s="250">
        <f t="shared" si="2"/>
        <v>0.8204204204204204</v>
      </c>
    </row>
    <row r="61" spans="1:7" s="65" customFormat="1" ht="14">
      <c r="A61" s="239"/>
      <c r="B61" s="251" t="s">
        <v>113</v>
      </c>
      <c r="C61" s="248">
        <f t="shared" si="0"/>
        <v>1186.73</v>
      </c>
      <c r="D61" s="249">
        <v>1146.99</v>
      </c>
      <c r="E61" s="249">
        <v>39.74</v>
      </c>
      <c r="F61" s="262">
        <v>951.9</v>
      </c>
      <c r="G61" s="250">
        <f t="shared" si="2"/>
        <v>0.8021201115670793</v>
      </c>
    </row>
    <row r="62" spans="1:7" s="65" customFormat="1" ht="14">
      <c r="A62" s="239"/>
      <c r="B62" s="251" t="s">
        <v>114</v>
      </c>
      <c r="C62" s="248">
        <f t="shared" si="0"/>
        <v>1155.6499999999999</v>
      </c>
      <c r="D62" s="249">
        <v>1115.83</v>
      </c>
      <c r="E62" s="249">
        <v>39.82</v>
      </c>
      <c r="F62" s="262">
        <v>933.1</v>
      </c>
      <c r="G62" s="250">
        <f t="shared" si="2"/>
        <v>0.80742439319863291</v>
      </c>
    </row>
    <row r="63" spans="1:7" s="65" customFormat="1" ht="14">
      <c r="A63" s="239"/>
      <c r="B63" s="251" t="s">
        <v>115</v>
      </c>
      <c r="C63" s="248">
        <f t="shared" si="0"/>
        <v>1148.4000000000001</v>
      </c>
      <c r="D63" s="249">
        <v>1108.46</v>
      </c>
      <c r="E63" s="249">
        <v>39.94</v>
      </c>
      <c r="F63" s="262">
        <v>957.4</v>
      </c>
      <c r="G63" s="250">
        <f t="shared" si="2"/>
        <v>0.83368164402647149</v>
      </c>
    </row>
    <row r="64" spans="1:7" s="65" customFormat="1" ht="14">
      <c r="A64" s="240"/>
      <c r="B64" s="251" t="s">
        <v>116</v>
      </c>
      <c r="C64" s="253">
        <f t="shared" si="0"/>
        <v>1271.71</v>
      </c>
      <c r="D64" s="254">
        <v>1231.68</v>
      </c>
      <c r="E64" s="254">
        <v>40.03</v>
      </c>
      <c r="F64" s="263">
        <v>997.8</v>
      </c>
      <c r="G64" s="255">
        <f t="shared" si="2"/>
        <v>0.78461284412326704</v>
      </c>
    </row>
    <row r="65" spans="1:7" s="65" customFormat="1" ht="13.5" customHeight="1">
      <c r="A65" s="238">
        <v>2015</v>
      </c>
      <c r="B65" s="247" t="s">
        <v>105</v>
      </c>
      <c r="C65" s="248">
        <f t="shared" si="0"/>
        <v>1183.99</v>
      </c>
      <c r="D65" s="249">
        <v>1143.81</v>
      </c>
      <c r="E65" s="249">
        <v>40.18</v>
      </c>
      <c r="F65" s="262">
        <v>948.1</v>
      </c>
      <c r="G65" s="257">
        <f t="shared" si="2"/>
        <v>0.80076689836907411</v>
      </c>
    </row>
    <row r="66" spans="1:7" s="65" customFormat="1" ht="14">
      <c r="A66" s="241"/>
      <c r="B66" s="251" t="s">
        <v>106</v>
      </c>
      <c r="C66" s="248">
        <f t="shared" si="0"/>
        <v>1228.76</v>
      </c>
      <c r="D66" s="249">
        <v>1188.51</v>
      </c>
      <c r="E66" s="249">
        <v>40.25</v>
      </c>
      <c r="F66" s="249">
        <v>1011.7</v>
      </c>
      <c r="G66" s="250">
        <f t="shared" si="2"/>
        <v>0.82335036947817319</v>
      </c>
    </row>
    <row r="67" spans="1:7" s="65" customFormat="1" ht="14">
      <c r="A67" s="241"/>
      <c r="B67" s="251" t="s">
        <v>107</v>
      </c>
      <c r="C67" s="248">
        <f t="shared" si="0"/>
        <v>1204.8800000000001</v>
      </c>
      <c r="D67" s="249">
        <v>1164.47</v>
      </c>
      <c r="E67" s="249">
        <v>40.409999999999997</v>
      </c>
      <c r="F67" s="262">
        <v>976</v>
      </c>
      <c r="G67" s="250">
        <f t="shared" si="2"/>
        <v>0.81003917402562908</v>
      </c>
    </row>
    <row r="68" spans="1:7" s="65" customFormat="1" ht="14">
      <c r="A68" s="241"/>
      <c r="B68" s="251" t="s">
        <v>108</v>
      </c>
      <c r="C68" s="248">
        <f t="shared" si="0"/>
        <v>1193.3799999999999</v>
      </c>
      <c r="D68" s="249">
        <v>1152.79</v>
      </c>
      <c r="E68" s="249">
        <v>40.590000000000003</v>
      </c>
      <c r="F68" s="249">
        <v>956.2</v>
      </c>
      <c r="G68" s="250">
        <f t="shared" si="2"/>
        <v>0.80125358226214627</v>
      </c>
    </row>
    <row r="69" spans="1:7" s="65" customFormat="1" ht="14">
      <c r="A69" s="241"/>
      <c r="B69" s="251" t="s">
        <v>109</v>
      </c>
      <c r="C69" s="248">
        <f t="shared" ref="C69:C103" si="3">D69+E69</f>
        <v>1225.28</v>
      </c>
      <c r="D69" s="249">
        <v>1184.58</v>
      </c>
      <c r="E69" s="249">
        <v>40.700000000000003</v>
      </c>
      <c r="F69" s="249">
        <v>1000.7</v>
      </c>
      <c r="G69" s="250">
        <f t="shared" si="2"/>
        <v>0.81671128231914347</v>
      </c>
    </row>
    <row r="70" spans="1:7" s="65" customFormat="1" ht="14">
      <c r="A70" s="241"/>
      <c r="B70" s="251" t="s">
        <v>110</v>
      </c>
      <c r="C70" s="248">
        <f t="shared" si="3"/>
        <v>1234.6500000000001</v>
      </c>
      <c r="D70" s="249">
        <v>1193.8900000000001</v>
      </c>
      <c r="E70" s="249">
        <v>40.76</v>
      </c>
      <c r="F70" s="249">
        <v>988</v>
      </c>
      <c r="G70" s="250">
        <f t="shared" si="2"/>
        <v>0.80022678491880284</v>
      </c>
    </row>
    <row r="71" spans="1:7" s="65" customFormat="1" ht="14">
      <c r="A71" s="241"/>
      <c r="B71" s="251" t="s">
        <v>117</v>
      </c>
      <c r="C71" s="248">
        <f t="shared" si="3"/>
        <v>1214.3999999999999</v>
      </c>
      <c r="D71" s="249">
        <v>1173.57</v>
      </c>
      <c r="E71" s="249">
        <v>40.83</v>
      </c>
      <c r="F71" s="249">
        <v>967.7</v>
      </c>
      <c r="G71" s="250">
        <f t="shared" si="2"/>
        <v>0.79685441370223986</v>
      </c>
    </row>
    <row r="72" spans="1:7" s="65" customFormat="1" ht="14">
      <c r="A72" s="241"/>
      <c r="B72" s="251" t="s">
        <v>112</v>
      </c>
      <c r="C72" s="248">
        <f t="shared" si="3"/>
        <v>1203.98</v>
      </c>
      <c r="D72" s="249">
        <v>1163.03</v>
      </c>
      <c r="E72" s="249">
        <v>40.950000000000003</v>
      </c>
      <c r="F72" s="249">
        <v>973.9</v>
      </c>
      <c r="G72" s="250">
        <f t="shared" si="2"/>
        <v>0.80890048007441984</v>
      </c>
    </row>
    <row r="73" spans="1:7" s="65" customFormat="1" ht="14">
      <c r="A73" s="241"/>
      <c r="B73" s="251" t="s">
        <v>113</v>
      </c>
      <c r="C73" s="248">
        <f t="shared" si="3"/>
        <v>1193.3699999999999</v>
      </c>
      <c r="D73" s="249">
        <v>1152.31</v>
      </c>
      <c r="E73" s="249">
        <v>41.06</v>
      </c>
      <c r="F73" s="249">
        <v>947.8</v>
      </c>
      <c r="G73" s="250">
        <f t="shared" si="2"/>
        <v>0.79422140660482499</v>
      </c>
    </row>
    <row r="74" spans="1:7" s="65" customFormat="1" ht="14">
      <c r="A74" s="241"/>
      <c r="B74" s="251" t="s">
        <v>114</v>
      </c>
      <c r="C74" s="248">
        <f t="shared" si="3"/>
        <v>1203.5</v>
      </c>
      <c r="D74" s="249">
        <v>1162.3499999999999</v>
      </c>
      <c r="E74" s="249">
        <v>41.15</v>
      </c>
      <c r="F74" s="249">
        <v>964.9</v>
      </c>
      <c r="G74" s="250">
        <f t="shared" si="2"/>
        <v>0.80174491067719156</v>
      </c>
    </row>
    <row r="75" spans="1:7" s="65" customFormat="1" ht="14">
      <c r="A75" s="241"/>
      <c r="B75" s="251" t="s">
        <v>115</v>
      </c>
      <c r="C75" s="248">
        <f t="shared" si="3"/>
        <v>1237.3900000000001</v>
      </c>
      <c r="D75" s="249">
        <v>1196.1600000000001</v>
      </c>
      <c r="E75" s="249">
        <v>41.23</v>
      </c>
      <c r="F75" s="249">
        <v>972.9</v>
      </c>
      <c r="G75" s="250">
        <f t="shared" si="2"/>
        <v>0.78625170722246007</v>
      </c>
    </row>
    <row r="76" spans="1:7" s="65" customFormat="1" ht="14">
      <c r="A76" s="241"/>
      <c r="B76" s="251" t="s">
        <v>116</v>
      </c>
      <c r="C76" s="253">
        <f t="shared" si="3"/>
        <v>1321.95</v>
      </c>
      <c r="D76" s="254">
        <v>1280.6600000000001</v>
      </c>
      <c r="E76" s="254">
        <v>41.29</v>
      </c>
      <c r="F76" s="249">
        <v>1033.0999999999999</v>
      </c>
      <c r="G76" s="250">
        <f t="shared" si="2"/>
        <v>0.78149703090131994</v>
      </c>
    </row>
    <row r="77" spans="1:7" s="65" customFormat="1" ht="14">
      <c r="A77" s="238">
        <v>2016</v>
      </c>
      <c r="B77" s="247" t="s">
        <v>105</v>
      </c>
      <c r="C77" s="248">
        <f t="shared" si="3"/>
        <v>1269.74</v>
      </c>
      <c r="D77" s="249">
        <v>1228.3800000000001</v>
      </c>
      <c r="E77" s="249">
        <v>41.36</v>
      </c>
      <c r="F77" s="261">
        <v>1011.64</v>
      </c>
      <c r="G77" s="257">
        <f>F77/C77</f>
        <v>0.79673003922062779</v>
      </c>
    </row>
    <row r="78" spans="1:7" s="65" customFormat="1" ht="14">
      <c r="A78" s="241"/>
      <c r="B78" s="251" t="s">
        <v>106</v>
      </c>
      <c r="C78" s="248">
        <f t="shared" si="3"/>
        <v>1275.56</v>
      </c>
      <c r="D78" s="249">
        <v>1234.0999999999999</v>
      </c>
      <c r="E78" s="249">
        <v>41.46</v>
      </c>
      <c r="F78" s="262">
        <v>1038.3399999999999</v>
      </c>
      <c r="G78" s="250">
        <f t="shared" ref="G78:G100" si="4">F78/C78</f>
        <v>0.81402678039449339</v>
      </c>
    </row>
    <row r="79" spans="1:7" s="65" customFormat="1" ht="14">
      <c r="A79" s="241"/>
      <c r="B79" s="251" t="s">
        <v>107</v>
      </c>
      <c r="C79" s="248">
        <f t="shared" si="3"/>
        <v>1285.3499999999999</v>
      </c>
      <c r="D79" s="249">
        <v>1243.8</v>
      </c>
      <c r="E79" s="249">
        <v>41.55</v>
      </c>
      <c r="F79" s="262">
        <v>1027.9000000000001</v>
      </c>
      <c r="G79" s="250">
        <f t="shared" si="4"/>
        <v>0.79970436067997053</v>
      </c>
    </row>
    <row r="80" spans="1:7" s="65" customFormat="1" ht="14">
      <c r="A80" s="241"/>
      <c r="B80" s="251" t="s">
        <v>108</v>
      </c>
      <c r="C80" s="248">
        <f t="shared" si="3"/>
        <v>1315.27</v>
      </c>
      <c r="D80" s="249">
        <v>1273.5999999999999</v>
      </c>
      <c r="E80" s="249">
        <v>41.67</v>
      </c>
      <c r="F80" s="262">
        <v>1063.28</v>
      </c>
      <c r="G80" s="250">
        <f t="shared" si="4"/>
        <v>0.80841196104221946</v>
      </c>
    </row>
    <row r="81" spans="1:7" s="65" customFormat="1" ht="14">
      <c r="A81" s="241"/>
      <c r="B81" s="251" t="s">
        <v>109</v>
      </c>
      <c r="C81" s="248">
        <f t="shared" si="3"/>
        <v>1317.85</v>
      </c>
      <c r="D81" s="249">
        <v>1276.07</v>
      </c>
      <c r="E81" s="249">
        <v>41.78</v>
      </c>
      <c r="F81" s="262">
        <v>1068.29</v>
      </c>
      <c r="G81" s="250">
        <f t="shared" si="4"/>
        <v>0.81063095192927881</v>
      </c>
    </row>
    <row r="82" spans="1:7" s="65" customFormat="1" ht="14">
      <c r="A82" s="241"/>
      <c r="B82" s="251" t="s">
        <v>110</v>
      </c>
      <c r="C82" s="248">
        <f t="shared" si="3"/>
        <v>1328.57</v>
      </c>
      <c r="D82" s="249">
        <v>1286.75</v>
      </c>
      <c r="E82" s="249">
        <v>41.82</v>
      </c>
      <c r="F82" s="262">
        <v>1033.3800000000001</v>
      </c>
      <c r="G82" s="250">
        <f t="shared" si="4"/>
        <v>0.77781373958466637</v>
      </c>
    </row>
    <row r="83" spans="1:7" s="65" customFormat="1" ht="14">
      <c r="A83" s="241"/>
      <c r="B83" s="251" t="s">
        <v>117</v>
      </c>
      <c r="C83" s="248">
        <f t="shared" si="3"/>
        <v>1302.1899999999998</v>
      </c>
      <c r="D83" s="249">
        <v>1260.32</v>
      </c>
      <c r="E83" s="249">
        <v>41.87</v>
      </c>
      <c r="F83" s="262">
        <v>1043.83</v>
      </c>
      <c r="G83" s="250">
        <f>F83/C83</f>
        <v>0.80159577327425346</v>
      </c>
    </row>
    <row r="84" spans="1:7" s="65" customFormat="1" ht="14">
      <c r="A84" s="241"/>
      <c r="B84" s="251" t="s">
        <v>112</v>
      </c>
      <c r="C84" s="248">
        <f t="shared" si="3"/>
        <v>1268.93</v>
      </c>
      <c r="D84" s="249">
        <v>1226.95</v>
      </c>
      <c r="E84" s="249">
        <v>41.98</v>
      </c>
      <c r="F84" s="262">
        <v>1019.87</v>
      </c>
      <c r="G84" s="250">
        <f>F84/C84</f>
        <v>0.80372439772091442</v>
      </c>
    </row>
    <row r="85" spans="1:7" s="65" customFormat="1" ht="14">
      <c r="A85" s="241"/>
      <c r="B85" s="251" t="s">
        <v>113</v>
      </c>
      <c r="C85" s="248">
        <f t="shared" si="3"/>
        <v>1282.71</v>
      </c>
      <c r="D85" s="249">
        <v>1240.6300000000001</v>
      </c>
      <c r="E85" s="249">
        <v>42.08</v>
      </c>
      <c r="F85" s="262">
        <v>1025.8</v>
      </c>
      <c r="G85" s="250">
        <f t="shared" si="4"/>
        <v>0.79971310740541501</v>
      </c>
    </row>
    <row r="86" spans="1:7" s="65" customFormat="1" ht="14">
      <c r="A86" s="241"/>
      <c r="B86" s="251" t="s">
        <v>114</v>
      </c>
      <c r="C86" s="248">
        <f t="shared" si="3"/>
        <v>1273.25</v>
      </c>
      <c r="D86" s="249">
        <v>1231.0999999999999</v>
      </c>
      <c r="E86" s="249">
        <v>42.15</v>
      </c>
      <c r="F86" s="262">
        <v>1033.5899999999999</v>
      </c>
      <c r="G86" s="250">
        <f t="shared" si="4"/>
        <v>0.81177302179461996</v>
      </c>
    </row>
    <row r="87" spans="1:7" s="65" customFormat="1" ht="14">
      <c r="A87" s="241"/>
      <c r="B87" s="251" t="s">
        <v>115</v>
      </c>
      <c r="C87" s="248">
        <f t="shared" si="3"/>
        <v>1273.93</v>
      </c>
      <c r="D87" s="249">
        <v>1231.73</v>
      </c>
      <c r="E87" s="249">
        <v>42.2</v>
      </c>
      <c r="F87" s="262">
        <v>1035.3399999999999</v>
      </c>
      <c r="G87" s="250">
        <f t="shared" si="4"/>
        <v>0.81271341439482536</v>
      </c>
    </row>
    <row r="88" spans="1:7" s="65" customFormat="1" ht="14">
      <c r="A88" s="242"/>
      <c r="B88" s="252" t="s">
        <v>116</v>
      </c>
      <c r="C88" s="253">
        <f t="shared" si="3"/>
        <v>1381.8400000000001</v>
      </c>
      <c r="D88" s="254">
        <v>1339.64</v>
      </c>
      <c r="E88" s="254">
        <v>42.2</v>
      </c>
      <c r="F88" s="263">
        <v>1092.92</v>
      </c>
      <c r="G88" s="255">
        <f t="shared" si="4"/>
        <v>0.79091645921380183</v>
      </c>
    </row>
    <row r="89" spans="1:7" s="65" customFormat="1" ht="14">
      <c r="A89" s="238">
        <v>2017</v>
      </c>
      <c r="B89" s="247" t="s">
        <v>105</v>
      </c>
      <c r="C89" s="258">
        <f t="shared" si="3"/>
        <v>1335.8</v>
      </c>
      <c r="D89" s="249">
        <v>1293.53</v>
      </c>
      <c r="E89" s="249">
        <v>42.27</v>
      </c>
      <c r="F89" s="261">
        <v>1068.95</v>
      </c>
      <c r="G89" s="257">
        <f>F89/C89</f>
        <v>0.80023207066926194</v>
      </c>
    </row>
    <row r="90" spans="1:7" s="65" customFormat="1" ht="14">
      <c r="A90" s="241"/>
      <c r="B90" s="251" t="s">
        <v>106</v>
      </c>
      <c r="C90" s="248">
        <f t="shared" si="3"/>
        <v>1282.99</v>
      </c>
      <c r="D90" s="249">
        <v>1240.6500000000001</v>
      </c>
      <c r="E90" s="249">
        <v>42.34</v>
      </c>
      <c r="F90" s="262">
        <v>1069.43</v>
      </c>
      <c r="G90" s="250">
        <f t="shared" si="4"/>
        <v>0.83354507829367341</v>
      </c>
    </row>
    <row r="91" spans="1:7" s="65" customFormat="1" ht="14">
      <c r="A91" s="241"/>
      <c r="B91" s="251" t="s">
        <v>107</v>
      </c>
      <c r="C91" s="248">
        <f t="shared" si="3"/>
        <v>1262.6500000000001</v>
      </c>
      <c r="D91" s="249">
        <v>1220.21</v>
      </c>
      <c r="E91" s="249">
        <v>42.44</v>
      </c>
      <c r="F91" s="262">
        <v>1003.6</v>
      </c>
      <c r="G91" s="250">
        <f t="shared" si="4"/>
        <v>0.79483625707836691</v>
      </c>
    </row>
    <row r="92" spans="1:7" s="65" customFormat="1" ht="14">
      <c r="A92" s="241"/>
      <c r="B92" s="251" t="s">
        <v>108</v>
      </c>
      <c r="C92" s="248">
        <f t="shared" si="3"/>
        <v>1220.5</v>
      </c>
      <c r="D92" s="249">
        <v>1178</v>
      </c>
      <c r="E92" s="249">
        <v>42.5</v>
      </c>
      <c r="F92" s="262">
        <v>953.79</v>
      </c>
      <c r="G92" s="250">
        <f t="shared" si="4"/>
        <v>0.78147480540761982</v>
      </c>
    </row>
    <row r="93" spans="1:7" s="65" customFormat="1" ht="14">
      <c r="A93" s="241"/>
      <c r="B93" s="251" t="s">
        <v>109</v>
      </c>
      <c r="C93" s="248">
        <f t="shared" si="3"/>
        <v>1235.04</v>
      </c>
      <c r="D93" s="249">
        <v>1192.46</v>
      </c>
      <c r="E93" s="249">
        <v>42.58</v>
      </c>
      <c r="F93" s="262">
        <v>1040.93</v>
      </c>
      <c r="G93" s="250">
        <f t="shared" si="4"/>
        <v>0.84283100142505518</v>
      </c>
    </row>
    <row r="94" spans="1:7" s="65" customFormat="1" ht="14">
      <c r="A94" s="241"/>
      <c r="B94" s="251" t="s">
        <v>110</v>
      </c>
      <c r="C94" s="248">
        <f t="shared" si="3"/>
        <v>1260.6599999999999</v>
      </c>
      <c r="D94" s="249">
        <v>1218.08</v>
      </c>
      <c r="E94" s="249">
        <v>42.58</v>
      </c>
      <c r="F94" s="262">
        <v>1026.03</v>
      </c>
      <c r="G94" s="250">
        <f t="shared" si="4"/>
        <v>0.81388320403598124</v>
      </c>
    </row>
    <row r="95" spans="1:7" s="65" customFormat="1" ht="14">
      <c r="A95" s="241"/>
      <c r="B95" s="251" t="s">
        <v>117</v>
      </c>
      <c r="C95" s="248">
        <f t="shared" si="3"/>
        <v>1205.7900000000002</v>
      </c>
      <c r="D95" s="249">
        <v>1162.6300000000001</v>
      </c>
      <c r="E95" s="249">
        <v>43.16</v>
      </c>
      <c r="F95" s="262">
        <v>978.3</v>
      </c>
      <c r="G95" s="250">
        <f t="shared" si="4"/>
        <v>0.8113353071430347</v>
      </c>
    </row>
    <row r="96" spans="1:7" s="65" customFormat="1" ht="14">
      <c r="A96" s="241"/>
      <c r="B96" s="251" t="s">
        <v>112</v>
      </c>
      <c r="C96" s="248">
        <f t="shared" si="3"/>
        <v>1220.76</v>
      </c>
      <c r="D96" s="249">
        <v>1177.1400000000001</v>
      </c>
      <c r="E96" s="249">
        <v>43.62</v>
      </c>
      <c r="F96" s="262">
        <v>1002</v>
      </c>
      <c r="G96" s="250">
        <f t="shared" si="4"/>
        <v>0.82080015727907207</v>
      </c>
    </row>
    <row r="97" spans="1:7" s="65" customFormat="1" ht="14">
      <c r="A97" s="241"/>
      <c r="B97" s="251" t="s">
        <v>113</v>
      </c>
      <c r="C97" s="248">
        <f t="shared" si="3"/>
        <v>1211.08</v>
      </c>
      <c r="D97" s="249">
        <v>1167.32</v>
      </c>
      <c r="E97" s="249">
        <v>43.76</v>
      </c>
      <c r="F97" s="262">
        <v>993.26</v>
      </c>
      <c r="G97" s="250">
        <f t="shared" si="4"/>
        <v>0.82014400369917762</v>
      </c>
    </row>
    <row r="98" spans="1:7" s="65" customFormat="1" ht="14">
      <c r="A98" s="241"/>
      <c r="B98" s="251" t="s">
        <v>114</v>
      </c>
      <c r="C98" s="248">
        <f t="shared" si="3"/>
        <v>1198.3900000000001</v>
      </c>
      <c r="D98" s="249">
        <v>1154.47</v>
      </c>
      <c r="E98" s="249">
        <v>43.92</v>
      </c>
      <c r="F98" s="262">
        <v>976.93</v>
      </c>
      <c r="G98" s="250">
        <f t="shared" si="4"/>
        <v>0.81520206276754636</v>
      </c>
    </row>
    <row r="99" spans="1:7" s="65" customFormat="1" ht="14">
      <c r="A99" s="241"/>
      <c r="B99" s="251" t="s">
        <v>115</v>
      </c>
      <c r="C99" s="248">
        <f t="shared" si="3"/>
        <v>1182.55</v>
      </c>
      <c r="D99" s="249">
        <v>1137.8399999999999</v>
      </c>
      <c r="E99" s="249">
        <v>44.71</v>
      </c>
      <c r="F99" s="262">
        <v>985.48</v>
      </c>
      <c r="G99" s="250">
        <f t="shared" si="4"/>
        <v>0.83335165532112809</v>
      </c>
    </row>
    <row r="100" spans="1:7" s="65" customFormat="1" ht="14">
      <c r="A100" s="242"/>
      <c r="B100" s="252" t="s">
        <v>116</v>
      </c>
      <c r="C100" s="253">
        <f t="shared" si="3"/>
        <v>1263.05</v>
      </c>
      <c r="D100" s="254">
        <v>1217.8399999999999</v>
      </c>
      <c r="E100" s="254">
        <v>45.21</v>
      </c>
      <c r="F100" s="263">
        <v>1049.48</v>
      </c>
      <c r="G100" s="255">
        <f t="shared" si="4"/>
        <v>0.83090930683662567</v>
      </c>
    </row>
    <row r="101" spans="1:7" s="65" customFormat="1" ht="14">
      <c r="A101" s="238">
        <v>2018</v>
      </c>
      <c r="B101" s="247" t="s">
        <v>105</v>
      </c>
      <c r="C101" s="258">
        <f t="shared" si="3"/>
        <v>1185.99</v>
      </c>
      <c r="D101" s="249">
        <v>1140.71</v>
      </c>
      <c r="E101" s="249">
        <v>45.28</v>
      </c>
      <c r="F101" s="261">
        <v>957.23</v>
      </c>
      <c r="G101" s="257">
        <f>F101/C101</f>
        <v>0.80711473115287646</v>
      </c>
    </row>
    <row r="102" spans="1:7" s="65" customFormat="1" ht="14">
      <c r="A102" s="241"/>
      <c r="B102" s="251" t="s">
        <v>106</v>
      </c>
      <c r="C102" s="248">
        <f t="shared" si="3"/>
        <v>1214.0899999999999</v>
      </c>
      <c r="D102" s="249">
        <v>1168.78</v>
      </c>
      <c r="E102" s="249">
        <v>45.31</v>
      </c>
      <c r="F102" s="262">
        <v>1013.19</v>
      </c>
      <c r="G102" s="250">
        <f t="shared" ref="G102:G166" si="5">F102/C102</f>
        <v>0.83452627070480778</v>
      </c>
    </row>
    <row r="103" spans="1:7" s="65" customFormat="1" ht="14">
      <c r="A103" s="241"/>
      <c r="B103" s="251" t="s">
        <v>107</v>
      </c>
      <c r="C103" s="248">
        <f t="shared" si="3"/>
        <v>1225.46</v>
      </c>
      <c r="D103" s="249">
        <v>1180.05</v>
      </c>
      <c r="E103" s="249">
        <v>45.41</v>
      </c>
      <c r="F103" s="262">
        <v>1017.42</v>
      </c>
      <c r="G103" s="250">
        <f t="shared" si="5"/>
        <v>0.83023517699476113</v>
      </c>
    </row>
    <row r="104" spans="1:7" s="65" customFormat="1" ht="14">
      <c r="A104" s="241"/>
      <c r="B104" s="251" t="s">
        <v>108</v>
      </c>
      <c r="C104" s="248">
        <f>D104+E104</f>
        <v>1213.4299999999998</v>
      </c>
      <c r="D104" s="249">
        <v>1167.81</v>
      </c>
      <c r="E104" s="249">
        <v>45.62</v>
      </c>
      <c r="F104" s="249">
        <v>1010.49</v>
      </c>
      <c r="G104" s="260">
        <f t="shared" si="5"/>
        <v>0.83275508269945542</v>
      </c>
    </row>
    <row r="105" spans="1:7" s="65" customFormat="1" ht="14">
      <c r="A105" s="241"/>
      <c r="B105" s="251" t="s">
        <v>109</v>
      </c>
      <c r="C105" s="248">
        <f>D105+E105</f>
        <v>1233.8600000000001</v>
      </c>
      <c r="D105" s="249">
        <v>1188.18</v>
      </c>
      <c r="E105" s="249">
        <v>45.68</v>
      </c>
      <c r="F105" s="249">
        <v>1027.1099999999999</v>
      </c>
      <c r="G105" s="260">
        <f t="shared" si="5"/>
        <v>0.83243641904267895</v>
      </c>
    </row>
    <row r="106" spans="1:7" s="65" customFormat="1" ht="14">
      <c r="A106" s="241"/>
      <c r="B106" s="251" t="s">
        <v>110</v>
      </c>
      <c r="C106" s="248">
        <f t="shared" ref="C106:C169" si="6">D106+E106</f>
        <v>1194.3</v>
      </c>
      <c r="D106" s="249">
        <v>1148.57</v>
      </c>
      <c r="E106" s="249">
        <v>45.73</v>
      </c>
      <c r="F106" s="249">
        <v>989.31</v>
      </c>
      <c r="G106" s="260">
        <f t="shared" si="5"/>
        <v>0.82835970861592567</v>
      </c>
    </row>
    <row r="107" spans="1:7" s="65" customFormat="1" ht="14">
      <c r="A107" s="241"/>
      <c r="B107" s="251" t="s">
        <v>117</v>
      </c>
      <c r="C107" s="248">
        <f t="shared" si="6"/>
        <v>1181.56</v>
      </c>
      <c r="D107" s="249">
        <v>1135.76</v>
      </c>
      <c r="E107" s="249">
        <v>45.8</v>
      </c>
      <c r="F107" s="249">
        <v>970.23</v>
      </c>
      <c r="G107" s="250">
        <f t="shared" si="5"/>
        <v>0.82114323436812353</v>
      </c>
    </row>
    <row r="108" spans="1:7" s="65" customFormat="1" ht="14">
      <c r="A108" s="241"/>
      <c r="B108" s="251" t="s">
        <v>112</v>
      </c>
      <c r="C108" s="248">
        <f t="shared" si="6"/>
        <v>1159.19</v>
      </c>
      <c r="D108" s="249">
        <v>1113.3</v>
      </c>
      <c r="E108" s="249">
        <v>45.89</v>
      </c>
      <c r="F108" s="249">
        <v>971.87</v>
      </c>
      <c r="G108" s="250">
        <f t="shared" si="5"/>
        <v>0.83840440307456066</v>
      </c>
    </row>
    <row r="109" spans="1:7" s="65" customFormat="1" ht="14">
      <c r="A109" s="241"/>
      <c r="B109" s="251" t="s">
        <v>113</v>
      </c>
      <c r="C109" s="248">
        <f t="shared" si="6"/>
        <v>1157.51</v>
      </c>
      <c r="D109" s="249">
        <v>1111.57</v>
      </c>
      <c r="E109" s="249">
        <v>45.94</v>
      </c>
      <c r="F109" s="249">
        <v>958.74</v>
      </c>
      <c r="G109" s="250">
        <f t="shared" si="5"/>
        <v>0.82827794144327049</v>
      </c>
    </row>
    <row r="110" spans="1:7" s="65" customFormat="1" ht="14">
      <c r="A110" s="241"/>
      <c r="B110" s="251" t="s">
        <v>114</v>
      </c>
      <c r="C110" s="262">
        <f t="shared" si="6"/>
        <v>1158.43</v>
      </c>
      <c r="D110" s="249">
        <v>1112.3800000000001</v>
      </c>
      <c r="E110" s="249">
        <v>46.05</v>
      </c>
      <c r="F110" s="249">
        <v>963.49</v>
      </c>
      <c r="G110" s="260">
        <f t="shared" si="5"/>
        <v>0.83172051828768245</v>
      </c>
    </row>
    <row r="111" spans="1:7" s="65" customFormat="1" ht="14">
      <c r="A111" s="241"/>
      <c r="B111" s="251" t="s">
        <v>115</v>
      </c>
      <c r="C111" s="262">
        <f t="shared" si="6"/>
        <v>1166.08</v>
      </c>
      <c r="D111" s="249">
        <v>1119.96</v>
      </c>
      <c r="E111" s="249">
        <v>46.12</v>
      </c>
      <c r="F111" s="249">
        <v>964.9</v>
      </c>
      <c r="G111" s="260">
        <f t="shared" si="5"/>
        <v>0.8274732436882547</v>
      </c>
    </row>
    <row r="112" spans="1:7" s="65" customFormat="1" ht="14">
      <c r="A112" s="242"/>
      <c r="B112" s="252" t="s">
        <v>116</v>
      </c>
      <c r="C112" s="263">
        <f t="shared" si="6"/>
        <v>1248.79</v>
      </c>
      <c r="D112" s="254">
        <v>1202.5899999999999</v>
      </c>
      <c r="E112" s="254">
        <v>46.2</v>
      </c>
      <c r="F112" s="254">
        <v>1029.28</v>
      </c>
      <c r="G112" s="264">
        <f t="shared" si="5"/>
        <v>0.82422184674765175</v>
      </c>
    </row>
    <row r="113" spans="1:7" s="65" customFormat="1" ht="14">
      <c r="A113" s="238">
        <v>2019</v>
      </c>
      <c r="B113" s="247" t="s">
        <v>105</v>
      </c>
      <c r="C113" s="261">
        <f t="shared" si="6"/>
        <v>1218.94</v>
      </c>
      <c r="D113" s="256">
        <v>1172.6600000000001</v>
      </c>
      <c r="E113" s="256">
        <v>46.28</v>
      </c>
      <c r="F113" s="256">
        <v>1025.9100000000001</v>
      </c>
      <c r="G113" s="257">
        <f t="shared" si="5"/>
        <v>0.8416410980031831</v>
      </c>
    </row>
    <row r="114" spans="1:7" s="65" customFormat="1" ht="14">
      <c r="A114" s="241"/>
      <c r="B114" s="251" t="s">
        <v>106</v>
      </c>
      <c r="C114" s="262">
        <f t="shared" si="6"/>
        <v>1209.48</v>
      </c>
      <c r="D114" s="249">
        <v>1163.1400000000001</v>
      </c>
      <c r="E114" s="249">
        <v>46.34</v>
      </c>
      <c r="F114" s="249">
        <v>977.4</v>
      </c>
      <c r="G114" s="250">
        <f t="shared" si="5"/>
        <v>0.80811588451235239</v>
      </c>
    </row>
    <row r="115" spans="1:7" s="65" customFormat="1" ht="14">
      <c r="A115" s="241"/>
      <c r="B115" s="251" t="s">
        <v>107</v>
      </c>
      <c r="C115" s="262">
        <f t="shared" si="6"/>
        <v>1212.73</v>
      </c>
      <c r="D115" s="249">
        <v>1166.26</v>
      </c>
      <c r="E115" s="249">
        <v>46.47</v>
      </c>
      <c r="F115" s="249">
        <v>1022.24</v>
      </c>
      <c r="G115" s="250">
        <f t="shared" si="5"/>
        <v>0.842924641099008</v>
      </c>
    </row>
    <row r="116" spans="1:7" s="65" customFormat="1" ht="14">
      <c r="A116" s="241"/>
      <c r="B116" s="251" t="s">
        <v>108</v>
      </c>
      <c r="C116" s="262">
        <f t="shared" si="6"/>
        <v>1201</v>
      </c>
      <c r="D116" s="249">
        <v>1154.4100000000001</v>
      </c>
      <c r="E116" s="249">
        <v>46.59</v>
      </c>
      <c r="F116" s="249">
        <v>970.35</v>
      </c>
      <c r="G116" s="250">
        <f t="shared" si="5"/>
        <v>0.80795170691090756</v>
      </c>
    </row>
    <row r="117" spans="1:7" s="65" customFormat="1" ht="14">
      <c r="A117" s="241"/>
      <c r="B117" s="251" t="s">
        <v>109</v>
      </c>
      <c r="C117" s="262">
        <f t="shared" si="6"/>
        <v>1218.45</v>
      </c>
      <c r="D117" s="249">
        <v>1171.75</v>
      </c>
      <c r="E117" s="249">
        <v>46.7</v>
      </c>
      <c r="F117" s="249">
        <v>999.6</v>
      </c>
      <c r="G117" s="250">
        <f t="shared" si="5"/>
        <v>0.82038655669087779</v>
      </c>
    </row>
    <row r="118" spans="1:7" s="65" customFormat="1" ht="14">
      <c r="A118" s="241"/>
      <c r="B118" s="251" t="s">
        <v>110</v>
      </c>
      <c r="C118" s="262">
        <f t="shared" si="6"/>
        <v>1182.8</v>
      </c>
      <c r="D118" s="249">
        <v>1136.02</v>
      </c>
      <c r="E118" s="249">
        <v>46.78</v>
      </c>
      <c r="F118" s="249">
        <v>976.38</v>
      </c>
      <c r="G118" s="250">
        <f t="shared" si="5"/>
        <v>0.82548190733851878</v>
      </c>
    </row>
    <row r="119" spans="1:7" s="65" customFormat="1" ht="14">
      <c r="A119" s="241"/>
      <c r="B119" s="251" t="s">
        <v>117</v>
      </c>
      <c r="C119" s="262">
        <f t="shared" si="6"/>
        <v>1167.9000000000001</v>
      </c>
      <c r="D119" s="249">
        <v>1121.02</v>
      </c>
      <c r="E119" s="249">
        <v>46.88</v>
      </c>
      <c r="F119" s="249">
        <v>971.29</v>
      </c>
      <c r="G119" s="250">
        <f t="shared" si="5"/>
        <v>0.83165510745783022</v>
      </c>
    </row>
    <row r="120" spans="1:7" s="65" customFormat="1" ht="14">
      <c r="A120" s="241"/>
      <c r="B120" s="251" t="s">
        <v>112</v>
      </c>
      <c r="C120" s="262">
        <f t="shared" si="6"/>
        <v>1183.5900000000001</v>
      </c>
      <c r="D120" s="249">
        <v>1136.6500000000001</v>
      </c>
      <c r="E120" s="249">
        <v>46.94</v>
      </c>
      <c r="F120" s="249">
        <v>967.61</v>
      </c>
      <c r="G120" s="250">
        <f t="shared" si="5"/>
        <v>0.81752127003438679</v>
      </c>
    </row>
    <row r="121" spans="1:7" s="65" customFormat="1" ht="14">
      <c r="A121" s="241"/>
      <c r="B121" s="251" t="s">
        <v>113</v>
      </c>
      <c r="C121" s="248">
        <f t="shared" si="6"/>
        <v>1156.71</v>
      </c>
      <c r="D121" s="249">
        <v>1109.68</v>
      </c>
      <c r="E121" s="249">
        <v>47.03</v>
      </c>
      <c r="F121" s="249">
        <v>968.06</v>
      </c>
      <c r="G121" s="250">
        <f t="shared" si="5"/>
        <v>0.83690812736122266</v>
      </c>
    </row>
    <row r="122" spans="1:7" s="65" customFormat="1" ht="14">
      <c r="A122" s="241"/>
      <c r="B122" s="251" t="s">
        <v>114</v>
      </c>
      <c r="C122" s="248">
        <f t="shared" si="6"/>
        <v>1152.25</v>
      </c>
      <c r="D122" s="249">
        <v>1105.05</v>
      </c>
      <c r="E122" s="249">
        <v>47.2</v>
      </c>
      <c r="F122" s="249">
        <v>950.43</v>
      </c>
      <c r="G122" s="250">
        <f t="shared" si="5"/>
        <v>0.82484703840312423</v>
      </c>
    </row>
    <row r="123" spans="1:7" s="65" customFormat="1" ht="14">
      <c r="A123" s="241"/>
      <c r="B123" s="251" t="s">
        <v>115</v>
      </c>
      <c r="C123" s="248">
        <f t="shared" si="6"/>
        <v>1158.3499999999999</v>
      </c>
      <c r="D123" s="249">
        <v>1111.08</v>
      </c>
      <c r="E123" s="249">
        <v>47.27</v>
      </c>
      <c r="F123" s="249">
        <v>963.44</v>
      </c>
      <c r="G123" s="250">
        <f t="shared" si="5"/>
        <v>0.83173479518280324</v>
      </c>
    </row>
    <row r="124" spans="1:7" s="65" customFormat="1" ht="14">
      <c r="A124" s="242"/>
      <c r="B124" s="252" t="s">
        <v>116</v>
      </c>
      <c r="C124" s="253">
        <f t="shared" si="6"/>
        <v>1228.21</v>
      </c>
      <c r="D124" s="254">
        <v>1180.9100000000001</v>
      </c>
      <c r="E124" s="254">
        <v>47.3</v>
      </c>
      <c r="F124" s="254">
        <v>1009.81</v>
      </c>
      <c r="G124" s="255">
        <f t="shared" si="5"/>
        <v>0.82218024604912832</v>
      </c>
    </row>
    <row r="125" spans="1:7" s="65" customFormat="1" ht="14">
      <c r="A125" s="243">
        <v>2020</v>
      </c>
      <c r="B125" s="247" t="s">
        <v>105</v>
      </c>
      <c r="C125" s="258">
        <f t="shared" si="6"/>
        <v>1226.1550337050001</v>
      </c>
      <c r="D125" s="256">
        <v>1178.8833015</v>
      </c>
      <c r="E125" s="256">
        <v>47.271732204999999</v>
      </c>
      <c r="F125" s="256">
        <v>996.13398439499997</v>
      </c>
      <c r="G125" s="257">
        <f t="shared" si="5"/>
        <v>0.81240459567746581</v>
      </c>
    </row>
    <row r="126" spans="1:7" s="65" customFormat="1" ht="14">
      <c r="A126" s="241"/>
      <c r="B126" s="251" t="s">
        <v>106</v>
      </c>
      <c r="C126" s="248">
        <f t="shared" si="6"/>
        <v>1213.7304313550001</v>
      </c>
      <c r="D126" s="249">
        <v>1166.3993295</v>
      </c>
      <c r="E126" s="249">
        <v>47.331101855</v>
      </c>
      <c r="F126" s="249">
        <v>1026.954006295</v>
      </c>
      <c r="G126" s="250">
        <f t="shared" si="5"/>
        <v>0.84611374961449703</v>
      </c>
    </row>
    <row r="127" spans="1:7" s="65" customFormat="1" ht="14">
      <c r="A127" s="241"/>
      <c r="B127" s="251" t="s">
        <v>107</v>
      </c>
      <c r="C127" s="248">
        <f t="shared" si="6"/>
        <v>1231.7309025450002</v>
      </c>
      <c r="D127" s="249">
        <v>1184.3303195000001</v>
      </c>
      <c r="E127" s="249">
        <v>47.400583045000005</v>
      </c>
      <c r="F127" s="249">
        <v>1135.0637431549999</v>
      </c>
      <c r="G127" s="250">
        <f t="shared" si="5"/>
        <v>0.92151925457884776</v>
      </c>
    </row>
    <row r="128" spans="1:7" s="65" customFormat="1" ht="14">
      <c r="A128" s="241"/>
      <c r="B128" s="251" t="s">
        <v>108</v>
      </c>
      <c r="C128" s="248">
        <f t="shared" si="6"/>
        <v>1246.2998145050001</v>
      </c>
      <c r="D128" s="249">
        <v>1198.7667435000001</v>
      </c>
      <c r="E128" s="249">
        <v>47.533071004999996</v>
      </c>
      <c r="F128" s="249">
        <v>1077.5949786450001</v>
      </c>
      <c r="G128" s="250">
        <f t="shared" si="5"/>
        <v>0.86463543210346583</v>
      </c>
    </row>
    <row r="129" spans="1:7" s="65" customFormat="1" ht="14">
      <c r="A129" s="241"/>
      <c r="B129" s="251" t="s">
        <v>109</v>
      </c>
      <c r="C129" s="248">
        <f t="shared" si="6"/>
        <v>1290.584102945</v>
      </c>
      <c r="D129" s="249">
        <v>1243.0083145000001</v>
      </c>
      <c r="E129" s="249">
        <v>47.575788444999993</v>
      </c>
      <c r="F129" s="249">
        <v>1170.0681714549999</v>
      </c>
      <c r="G129" s="250">
        <f t="shared" si="5"/>
        <v>0.90661907951989074</v>
      </c>
    </row>
    <row r="130" spans="1:7" s="65" customFormat="1" ht="14">
      <c r="A130" s="241"/>
      <c r="B130" s="251" t="s">
        <v>110</v>
      </c>
      <c r="C130" s="248">
        <f t="shared" si="6"/>
        <v>1249.8312050049999</v>
      </c>
      <c r="D130" s="249">
        <v>1202.0942494999999</v>
      </c>
      <c r="E130" s="249">
        <v>47.736955504999997</v>
      </c>
      <c r="F130" s="249">
        <v>1157.1384874149999</v>
      </c>
      <c r="G130" s="250">
        <f t="shared" si="5"/>
        <v>0.92583581109288338</v>
      </c>
    </row>
    <row r="131" spans="1:7" s="65" customFormat="1" ht="14">
      <c r="A131" s="241"/>
      <c r="B131" s="251" t="s">
        <v>117</v>
      </c>
      <c r="C131" s="265">
        <f t="shared" si="6"/>
        <v>1258.2710294849999</v>
      </c>
      <c r="D131" s="266">
        <v>1210.3425394999999</v>
      </c>
      <c r="E131" s="266">
        <v>47.928489984999999</v>
      </c>
      <c r="F131" s="266">
        <v>1158.84972741</v>
      </c>
      <c r="G131" s="250">
        <f t="shared" si="5"/>
        <v>0.92098578148485843</v>
      </c>
    </row>
    <row r="132" spans="1:7" s="65" customFormat="1" ht="14">
      <c r="A132" s="241"/>
      <c r="B132" s="251" t="s">
        <v>112</v>
      </c>
      <c r="C132" s="265">
        <f t="shared" si="6"/>
        <v>1260.7618419949999</v>
      </c>
      <c r="D132" s="266">
        <v>1212.7124914999999</v>
      </c>
      <c r="E132" s="266">
        <v>48.049350494999999</v>
      </c>
      <c r="F132" s="266">
        <v>1159.8131968599998</v>
      </c>
      <c r="G132" s="250">
        <f t="shared" si="5"/>
        <v>0.91993044064907503</v>
      </c>
    </row>
    <row r="133" spans="1:7" s="65" customFormat="1" ht="14">
      <c r="A133" s="241"/>
      <c r="B133" s="251" t="s">
        <v>113</v>
      </c>
      <c r="C133" s="265">
        <f t="shared" si="6"/>
        <v>1268.7726502149999</v>
      </c>
      <c r="D133" s="266">
        <v>1220.6118915</v>
      </c>
      <c r="E133" s="266">
        <v>48.160758715</v>
      </c>
      <c r="F133" s="266">
        <v>1167.8860819900001</v>
      </c>
      <c r="G133" s="250">
        <f t="shared" si="5"/>
        <v>0.92048491255868092</v>
      </c>
    </row>
    <row r="134" spans="1:7" s="65" customFormat="1" ht="14">
      <c r="A134" s="241"/>
      <c r="B134" s="251" t="s">
        <v>114</v>
      </c>
      <c r="C134" s="267">
        <f t="shared" si="6"/>
        <v>1276.182928385</v>
      </c>
      <c r="D134" s="266">
        <v>1227.9224294999999</v>
      </c>
      <c r="E134" s="266">
        <v>48.260498885000004</v>
      </c>
      <c r="F134" s="266">
        <v>1179.936023535</v>
      </c>
      <c r="G134" s="250">
        <f t="shared" si="5"/>
        <v>0.92458220313932604</v>
      </c>
    </row>
    <row r="135" spans="1:7" s="65" customFormat="1" ht="14">
      <c r="A135" s="241"/>
      <c r="B135" s="251" t="s">
        <v>115</v>
      </c>
      <c r="C135" s="267">
        <f t="shared" si="6"/>
        <v>1282.7652951350001</v>
      </c>
      <c r="D135" s="266">
        <v>1234.4110115000001</v>
      </c>
      <c r="E135" s="266">
        <v>48.354283635000009</v>
      </c>
      <c r="F135" s="266">
        <v>1177.036927075</v>
      </c>
      <c r="G135" s="250">
        <f t="shared" si="5"/>
        <v>0.91757777633914461</v>
      </c>
    </row>
    <row r="136" spans="1:7" s="65" customFormat="1" ht="14">
      <c r="A136" s="242"/>
      <c r="B136" s="252" t="s">
        <v>116</v>
      </c>
      <c r="C136" s="268">
        <f t="shared" si="6"/>
        <v>1357.8005502349999</v>
      </c>
      <c r="D136" s="269">
        <v>1309.3413854999999</v>
      </c>
      <c r="E136" s="269">
        <v>48.459164735000002</v>
      </c>
      <c r="F136" s="269">
        <v>1240.6961254749999</v>
      </c>
      <c r="G136" s="255">
        <f t="shared" si="5"/>
        <v>0.91375432515494837</v>
      </c>
    </row>
    <row r="137" spans="1:7" s="65" customFormat="1" ht="14">
      <c r="A137" s="238">
        <v>2021</v>
      </c>
      <c r="B137" s="247" t="s">
        <v>105</v>
      </c>
      <c r="C137" s="270">
        <f t="shared" si="6"/>
        <v>1321.3801006250001</v>
      </c>
      <c r="D137" s="271">
        <v>1272.8222095000001</v>
      </c>
      <c r="E137" s="271">
        <v>48.557891124999998</v>
      </c>
      <c r="F137" s="271">
        <v>1229.0350134849998</v>
      </c>
      <c r="G137" s="257">
        <f t="shared" si="5"/>
        <v>0.93011466791703468</v>
      </c>
    </row>
    <row r="138" spans="1:7" s="65" customFormat="1" ht="14">
      <c r="A138" s="241"/>
      <c r="B138" s="251" t="s">
        <v>106</v>
      </c>
      <c r="C138" s="267">
        <f t="shared" si="6"/>
        <v>1347.8479314649999</v>
      </c>
      <c r="D138" s="266">
        <v>1299.0968654999999</v>
      </c>
      <c r="E138" s="266">
        <v>48.751065965000002</v>
      </c>
      <c r="F138" s="266">
        <v>1255.632899765</v>
      </c>
      <c r="G138" s="250">
        <f t="shared" si="5"/>
        <v>0.9315835046763995</v>
      </c>
    </row>
    <row r="139" spans="1:7" s="65" customFormat="1" ht="14">
      <c r="A139" s="241"/>
      <c r="B139" s="251" t="s">
        <v>107</v>
      </c>
      <c r="C139" s="267">
        <f t="shared" si="6"/>
        <v>1346.6228701150001</v>
      </c>
      <c r="D139" s="266">
        <v>1297.4904845000001</v>
      </c>
      <c r="E139" s="266">
        <v>49.132385615000011</v>
      </c>
      <c r="F139" s="266">
        <v>1245.571088725</v>
      </c>
      <c r="G139" s="250">
        <f t="shared" si="5"/>
        <v>0.92495910797848668</v>
      </c>
    </row>
    <row r="140" spans="1:7" s="65" customFormat="1" ht="14">
      <c r="A140" s="241"/>
      <c r="B140" s="251" t="s">
        <v>108</v>
      </c>
      <c r="C140" s="267">
        <f t="shared" si="6"/>
        <v>1364.3448971150001</v>
      </c>
      <c r="D140" s="266">
        <v>1315.0531905</v>
      </c>
      <c r="E140" s="266">
        <v>49.29170661500001</v>
      </c>
      <c r="F140" s="266">
        <v>1263.4993951849999</v>
      </c>
      <c r="G140" s="250">
        <f t="shared" si="5"/>
        <v>0.92608503748337767</v>
      </c>
    </row>
    <row r="141" spans="1:7" s="65" customFormat="1" ht="14">
      <c r="A141" s="241"/>
      <c r="B141" s="251" t="s">
        <v>109</v>
      </c>
      <c r="C141" s="267">
        <f t="shared" si="6"/>
        <v>1351.225440355</v>
      </c>
      <c r="D141" s="266">
        <v>1301.8339025</v>
      </c>
      <c r="E141" s="266">
        <v>49.39153785500001</v>
      </c>
      <c r="F141" s="266">
        <v>1261.4213000950001</v>
      </c>
      <c r="G141" s="250">
        <f t="shared" si="5"/>
        <v>0.93353874373738388</v>
      </c>
    </row>
    <row r="142" spans="1:7" s="65" customFormat="1" ht="14">
      <c r="A142" s="241"/>
      <c r="B142" s="251" t="s">
        <v>110</v>
      </c>
      <c r="C142" s="267">
        <f t="shared" si="6"/>
        <v>1351.7359267250001</v>
      </c>
      <c r="D142" s="266">
        <v>1302.2813475</v>
      </c>
      <c r="E142" s="266">
        <v>49.45457922500001</v>
      </c>
      <c r="F142" s="266">
        <v>1245.4174545350002</v>
      </c>
      <c r="G142" s="250">
        <f t="shared" si="5"/>
        <v>0.92134671418581771</v>
      </c>
    </row>
    <row r="143" spans="1:7" s="65" customFormat="1" ht="14">
      <c r="A143" s="241"/>
      <c r="B143" s="251" t="s">
        <v>117</v>
      </c>
      <c r="C143" s="265">
        <f t="shared" si="6"/>
        <v>1344.580702555</v>
      </c>
      <c r="D143" s="266">
        <v>1295.0618515000001</v>
      </c>
      <c r="E143" s="266">
        <v>49.518851055000013</v>
      </c>
      <c r="F143" s="266">
        <v>1234.9535409349999</v>
      </c>
      <c r="G143" s="250">
        <f t="shared" si="5"/>
        <v>0.9184673992333191</v>
      </c>
    </row>
    <row r="144" spans="1:7" s="65" customFormat="1" ht="14">
      <c r="A144" s="241"/>
      <c r="B144" s="251" t="s">
        <v>112</v>
      </c>
      <c r="C144" s="265">
        <f t="shared" si="6"/>
        <v>1363.832463255</v>
      </c>
      <c r="D144" s="266">
        <v>1314.2737725</v>
      </c>
      <c r="E144" s="266">
        <v>49.558690755000008</v>
      </c>
      <c r="F144" s="266">
        <v>1254.246617305</v>
      </c>
      <c r="G144" s="250">
        <f t="shared" si="5"/>
        <v>0.91964860134766391</v>
      </c>
    </row>
    <row r="145" spans="1:7" s="65" customFormat="1" ht="14">
      <c r="A145" s="241"/>
      <c r="B145" s="251" t="s">
        <v>113</v>
      </c>
      <c r="C145" s="265">
        <f t="shared" si="6"/>
        <v>1345.9479682250001</v>
      </c>
      <c r="D145" s="266">
        <v>1296.3611185</v>
      </c>
      <c r="E145" s="266">
        <v>49.586849725000008</v>
      </c>
      <c r="F145" s="266">
        <v>1256.048449895</v>
      </c>
      <c r="G145" s="250">
        <f t="shared" si="5"/>
        <v>0.93320728553232468</v>
      </c>
    </row>
    <row r="146" spans="1:7" s="65" customFormat="1" ht="14">
      <c r="A146" s="241"/>
      <c r="B146" s="251" t="s">
        <v>114</v>
      </c>
      <c r="C146" s="267">
        <f t="shared" si="6"/>
        <v>1366.927286805</v>
      </c>
      <c r="D146" s="266">
        <v>1317.2763975</v>
      </c>
      <c r="E146" s="266">
        <v>49.650889305000014</v>
      </c>
      <c r="F146" s="266">
        <v>1270.8737057349999</v>
      </c>
      <c r="G146" s="250">
        <f t="shared" si="5"/>
        <v>0.92973029216900649</v>
      </c>
    </row>
    <row r="147" spans="1:7" s="65" customFormat="1" ht="14">
      <c r="A147" s="241"/>
      <c r="B147" s="251" t="s">
        <v>115</v>
      </c>
      <c r="C147" s="267">
        <f t="shared" si="6"/>
        <v>1369.624969965</v>
      </c>
      <c r="D147" s="266">
        <v>1319.9147694999999</v>
      </c>
      <c r="E147" s="266">
        <v>49.710200465000014</v>
      </c>
      <c r="F147" s="266">
        <v>1269.5388825350001</v>
      </c>
      <c r="G147" s="250">
        <f t="shared" si="5"/>
        <v>0.9269244576984037</v>
      </c>
    </row>
    <row r="148" spans="1:7" s="65" customFormat="1" ht="14">
      <c r="A148" s="242"/>
      <c r="B148" s="252" t="s">
        <v>116</v>
      </c>
      <c r="C148" s="268">
        <f t="shared" si="6"/>
        <v>1431.435541905</v>
      </c>
      <c r="D148" s="269">
        <v>1381.6253194999999</v>
      </c>
      <c r="E148" s="269">
        <v>49.810222405000012</v>
      </c>
      <c r="F148" s="269">
        <v>1328.1317245150001</v>
      </c>
      <c r="G148" s="255">
        <f t="shared" si="5"/>
        <v>0.92783201592680875</v>
      </c>
    </row>
    <row r="149" spans="1:7" s="65" customFormat="1" ht="14">
      <c r="A149" s="238">
        <v>2022</v>
      </c>
      <c r="B149" s="272" t="s">
        <v>105</v>
      </c>
      <c r="C149" s="271">
        <f t="shared" si="6"/>
        <v>1432.9780901949998</v>
      </c>
      <c r="D149" s="271">
        <v>1383.1198414999999</v>
      </c>
      <c r="E149" s="271">
        <v>49.858248695000007</v>
      </c>
      <c r="F149" s="271">
        <v>1329.4853301349999</v>
      </c>
      <c r="G149" s="257">
        <f t="shared" si="5"/>
        <v>0.92777784896493665</v>
      </c>
    </row>
    <row r="150" spans="1:7" s="65" customFormat="1" ht="14">
      <c r="A150" s="241"/>
      <c r="B150" s="273" t="s">
        <v>106</v>
      </c>
      <c r="C150" s="266">
        <f t="shared" si="6"/>
        <v>1422.238044295</v>
      </c>
      <c r="D150" s="266">
        <v>1372.3321285</v>
      </c>
      <c r="E150" s="266">
        <v>49.905915795000013</v>
      </c>
      <c r="F150" s="266">
        <v>1328.4699345850001</v>
      </c>
      <c r="G150" s="250">
        <f t="shared" si="5"/>
        <v>0.93407003132413002</v>
      </c>
    </row>
    <row r="151" spans="1:7" s="65" customFormat="1" ht="14">
      <c r="A151" s="241"/>
      <c r="B151" s="273" t="s">
        <v>107</v>
      </c>
      <c r="C151" s="266">
        <f t="shared" si="6"/>
        <v>1431.644997225</v>
      </c>
      <c r="D151" s="266">
        <v>1381.6358905</v>
      </c>
      <c r="E151" s="266">
        <v>50.009106725000009</v>
      </c>
      <c r="F151" s="266">
        <v>1333.8712627450002</v>
      </c>
      <c r="G151" s="250">
        <f t="shared" si="5"/>
        <v>0.93170532173163212</v>
      </c>
    </row>
    <row r="152" spans="1:7" s="65" customFormat="1" ht="14">
      <c r="A152" s="241"/>
      <c r="B152" s="273" t="s">
        <v>108</v>
      </c>
      <c r="C152" s="266">
        <f t="shared" si="6"/>
        <v>1439.9572021050001</v>
      </c>
      <c r="D152" s="266">
        <v>1389.9173355</v>
      </c>
      <c r="E152" s="266">
        <v>50.039866605000014</v>
      </c>
      <c r="F152" s="266">
        <v>1351.0166444249999</v>
      </c>
      <c r="G152" s="250">
        <f t="shared" si="5"/>
        <v>0.93823388809751951</v>
      </c>
    </row>
    <row r="153" spans="1:7" s="65" customFormat="1" ht="14">
      <c r="A153" s="241"/>
      <c r="B153" s="273" t="s">
        <v>109</v>
      </c>
      <c r="C153" s="266">
        <f t="shared" si="6"/>
        <v>1411.179791045</v>
      </c>
      <c r="D153" s="266">
        <v>1361.0051845</v>
      </c>
      <c r="E153" s="266">
        <v>50.17460654500001</v>
      </c>
      <c r="F153" s="266">
        <v>1309.301571665</v>
      </c>
      <c r="G153" s="250">
        <f t="shared" si="5"/>
        <v>0.9278063503839169</v>
      </c>
    </row>
    <row r="154" spans="1:7" s="65" customFormat="1" ht="14">
      <c r="A154" s="241"/>
      <c r="B154" s="273" t="s">
        <v>110</v>
      </c>
      <c r="C154" s="266">
        <f t="shared" si="6"/>
        <v>1401.9744384350001</v>
      </c>
      <c r="D154" s="266">
        <v>1351.7378805000001</v>
      </c>
      <c r="E154" s="266">
        <v>50.236557935000008</v>
      </c>
      <c r="F154" s="266">
        <v>1301.0623830950001</v>
      </c>
      <c r="G154" s="250">
        <f t="shared" si="5"/>
        <v>0.92802147273623159</v>
      </c>
    </row>
    <row r="155" spans="1:7" s="65" customFormat="1" ht="14">
      <c r="A155" s="241"/>
      <c r="B155" s="273" t="s">
        <v>117</v>
      </c>
      <c r="C155" s="266">
        <f t="shared" si="6"/>
        <v>1391.1984591750002</v>
      </c>
      <c r="D155" s="266">
        <v>1340.8997755</v>
      </c>
      <c r="E155" s="266">
        <v>50.298683675000014</v>
      </c>
      <c r="F155" s="266">
        <v>1286.2180263749999</v>
      </c>
      <c r="G155" s="250">
        <f t="shared" si="5"/>
        <v>0.92453957082280336</v>
      </c>
    </row>
    <row r="156" spans="1:7" s="65" customFormat="1" ht="14">
      <c r="A156" s="241"/>
      <c r="B156" s="273" t="s">
        <v>112</v>
      </c>
      <c r="C156" s="266">
        <f t="shared" si="6"/>
        <v>1389.3364136350001</v>
      </c>
      <c r="D156" s="266">
        <v>1338.9272845</v>
      </c>
      <c r="E156" s="266">
        <v>50.409129135000015</v>
      </c>
      <c r="F156" s="266">
        <v>1256.0790367349998</v>
      </c>
      <c r="G156" s="250">
        <f t="shared" si="5"/>
        <v>0.90408559396255117</v>
      </c>
    </row>
    <row r="157" spans="1:7" s="65" customFormat="1" ht="14">
      <c r="A157" s="241"/>
      <c r="B157" s="273" t="s">
        <v>113</v>
      </c>
      <c r="C157" s="266">
        <f t="shared" si="6"/>
        <v>1364.258300165</v>
      </c>
      <c r="D157" s="266">
        <v>1313.7971315</v>
      </c>
      <c r="E157" s="266">
        <v>50.46116866500001</v>
      </c>
      <c r="F157" s="266">
        <v>1233.850445775</v>
      </c>
      <c r="G157" s="250">
        <f t="shared" si="5"/>
        <v>0.90441117024963102</v>
      </c>
    </row>
    <row r="158" spans="1:7" s="65" customFormat="1" ht="14">
      <c r="A158" s="241"/>
      <c r="B158" s="273" t="s">
        <v>114</v>
      </c>
      <c r="C158" s="266">
        <f t="shared" si="6"/>
        <v>1361.627465195</v>
      </c>
      <c r="D158" s="266">
        <v>1311.0940895000001</v>
      </c>
      <c r="E158" s="266">
        <v>50.533375695000011</v>
      </c>
      <c r="F158" s="266">
        <v>1231.403551055</v>
      </c>
      <c r="G158" s="250">
        <f t="shared" si="5"/>
        <v>0.9043615691746123</v>
      </c>
    </row>
    <row r="159" spans="1:7" s="65" customFormat="1" ht="14">
      <c r="A159" s="241"/>
      <c r="B159" s="273" t="s">
        <v>115</v>
      </c>
      <c r="C159" s="266">
        <f t="shared" si="6"/>
        <v>1359.1085463050001</v>
      </c>
      <c r="D159" s="266">
        <v>1308.4905535</v>
      </c>
      <c r="E159" s="266">
        <v>50.617992805000014</v>
      </c>
      <c r="F159" s="266">
        <v>1216.091037525</v>
      </c>
      <c r="G159" s="250">
        <f t="shared" si="5"/>
        <v>0.89477109155937484</v>
      </c>
    </row>
    <row r="160" spans="1:7" s="65" customFormat="1" ht="14">
      <c r="A160" s="242"/>
      <c r="B160" s="274" t="s">
        <v>116</v>
      </c>
      <c r="C160" s="269">
        <f t="shared" si="6"/>
        <v>1422.272677895</v>
      </c>
      <c r="D160" s="269">
        <v>1371.6068625</v>
      </c>
      <c r="E160" s="269">
        <v>50.66581539500001</v>
      </c>
      <c r="F160" s="269">
        <v>1235.938929555</v>
      </c>
      <c r="G160" s="255">
        <f t="shared" si="5"/>
        <v>0.86898873103870722</v>
      </c>
    </row>
    <row r="161" spans="1:7" s="65" customFormat="1" ht="14">
      <c r="A161" s="238">
        <v>2023</v>
      </c>
      <c r="B161" s="272" t="s">
        <v>105</v>
      </c>
      <c r="C161" s="271">
        <f t="shared" si="6"/>
        <v>1414.357200315</v>
      </c>
      <c r="D161" s="271">
        <v>1363.6069735000001</v>
      </c>
      <c r="E161" s="271">
        <v>50.750226815000005</v>
      </c>
      <c r="F161" s="271">
        <v>1245.143880055</v>
      </c>
      <c r="G161" s="257">
        <f t="shared" si="5"/>
        <v>0.88036026526940048</v>
      </c>
    </row>
    <row r="162" spans="1:7" s="65" customFormat="1" ht="14">
      <c r="A162" s="241"/>
      <c r="B162" s="273" t="s">
        <v>106</v>
      </c>
      <c r="C162" s="266">
        <f t="shared" si="6"/>
        <v>1378.5778343049999</v>
      </c>
      <c r="D162" s="266">
        <v>1327.6894725</v>
      </c>
      <c r="E162" s="266">
        <v>50.888361805000009</v>
      </c>
      <c r="F162" s="266">
        <v>1215.282190545</v>
      </c>
      <c r="G162" s="250">
        <f t="shared" si="5"/>
        <v>0.88154775182329537</v>
      </c>
    </row>
    <row r="163" spans="1:7" s="65" customFormat="1" ht="14">
      <c r="A163" s="241"/>
      <c r="B163" s="273" t="s">
        <v>107</v>
      </c>
      <c r="C163" s="266">
        <f t="shared" si="6"/>
        <v>1384.827322415</v>
      </c>
      <c r="D163" s="266">
        <v>1333.8218175</v>
      </c>
      <c r="E163" s="266">
        <v>51.005504915000017</v>
      </c>
      <c r="F163" s="266">
        <v>1216.874342655</v>
      </c>
      <c r="G163" s="250">
        <f t="shared" si="5"/>
        <v>0.87871918972027008</v>
      </c>
    </row>
    <row r="164" spans="1:7" s="65" customFormat="1" ht="14">
      <c r="A164" s="241"/>
      <c r="B164" s="273" t="s">
        <v>108</v>
      </c>
      <c r="C164" s="266">
        <f t="shared" si="6"/>
        <v>1429.4063015649999</v>
      </c>
      <c r="D164" s="266">
        <v>1378.3974925</v>
      </c>
      <c r="E164" s="266">
        <v>51.008809065000008</v>
      </c>
      <c r="F164" s="266">
        <v>1268.264441135</v>
      </c>
      <c r="G164" s="250">
        <f t="shared" si="5"/>
        <v>0.88726658036027117</v>
      </c>
    </row>
    <row r="165" spans="1:7" s="65" customFormat="1" ht="14">
      <c r="A165" s="241"/>
      <c r="B165" s="273" t="s">
        <v>109</v>
      </c>
      <c r="C165" s="266">
        <f t="shared" si="6"/>
        <v>1363.4736073849999</v>
      </c>
      <c r="D165" s="266">
        <v>1312.3555855</v>
      </c>
      <c r="E165" s="266">
        <v>51.118021885000012</v>
      </c>
      <c r="F165" s="266">
        <v>1194.6099587550002</v>
      </c>
      <c r="G165" s="250">
        <f t="shared" si="5"/>
        <v>0.8761518758299528</v>
      </c>
    </row>
    <row r="166" spans="1:7" s="65" customFormat="1" ht="14">
      <c r="A166" s="241"/>
      <c r="B166" s="273" t="s">
        <v>110</v>
      </c>
      <c r="C166" s="266">
        <f t="shared" si="6"/>
        <v>1366.772190805</v>
      </c>
      <c r="D166" s="266">
        <v>1315.5491715000001</v>
      </c>
      <c r="E166" s="266">
        <v>51.223019305000008</v>
      </c>
      <c r="F166" s="266">
        <v>1206.3391353750001</v>
      </c>
      <c r="G166" s="250">
        <f t="shared" si="5"/>
        <v>0.88261902275352244</v>
      </c>
    </row>
    <row r="167" spans="1:7" s="65" customFormat="1" ht="14">
      <c r="A167" s="241"/>
      <c r="B167" s="273" t="s">
        <v>117</v>
      </c>
      <c r="C167" s="266">
        <f t="shared" si="6"/>
        <v>1367.0751393799999</v>
      </c>
      <c r="D167" s="266">
        <v>1315.7741114999999</v>
      </c>
      <c r="E167" s="266">
        <v>51.301027879999999</v>
      </c>
      <c r="F167" s="266">
        <v>1195.5311268</v>
      </c>
      <c r="G167" s="250">
        <f t="shared" ref="G167:G196" si="7">F167/C167</f>
        <v>0.8745174953164615</v>
      </c>
    </row>
    <row r="168" spans="1:7" s="65" customFormat="1" ht="14">
      <c r="A168" s="241"/>
      <c r="B168" s="273" t="s">
        <v>112</v>
      </c>
      <c r="C168" s="266">
        <f t="shared" si="6"/>
        <v>1379.8850985899999</v>
      </c>
      <c r="D168" s="266">
        <v>1328.4787624999999</v>
      </c>
      <c r="E168" s="266">
        <v>51.406336090000003</v>
      </c>
      <c r="F168" s="266">
        <v>1207.17773594</v>
      </c>
      <c r="G168" s="250">
        <f t="shared" si="7"/>
        <v>0.87483931609488619</v>
      </c>
    </row>
    <row r="169" spans="1:7" s="65" customFormat="1" ht="14">
      <c r="A169" s="241"/>
      <c r="B169" s="273" t="s">
        <v>113</v>
      </c>
      <c r="C169" s="266">
        <f t="shared" si="6"/>
        <v>1361.4620344999998</v>
      </c>
      <c r="D169" s="266">
        <v>1309.9562265</v>
      </c>
      <c r="E169" s="266">
        <v>51.505808000000002</v>
      </c>
      <c r="F169" s="266">
        <v>1204.0344795399999</v>
      </c>
      <c r="G169" s="250">
        <f t="shared" si="7"/>
        <v>0.88436875140788218</v>
      </c>
    </row>
    <row r="170" spans="1:7" s="65" customFormat="1" ht="14">
      <c r="A170" s="241"/>
      <c r="B170" s="273" t="s">
        <v>114</v>
      </c>
      <c r="C170" s="266">
        <f t="shared" ref="C170:C196" si="8">D170+E170</f>
        <v>1375.1801129</v>
      </c>
      <c r="D170" s="266">
        <v>1323.6008535000001</v>
      </c>
      <c r="E170" s="266">
        <v>51.579259399999998</v>
      </c>
      <c r="F170" s="266">
        <v>1195.6759122400001</v>
      </c>
      <c r="G170" s="250">
        <f t="shared" si="7"/>
        <v>0.86946858889526923</v>
      </c>
    </row>
    <row r="171" spans="1:7" s="65" customFormat="1" ht="14">
      <c r="A171" s="241"/>
      <c r="B171" s="273" t="s">
        <v>115</v>
      </c>
      <c r="C171" s="266">
        <f t="shared" si="8"/>
        <v>1363.3528906199999</v>
      </c>
      <c r="D171" s="266">
        <v>1311.6926575</v>
      </c>
      <c r="E171" s="266">
        <v>51.660233119999994</v>
      </c>
      <c r="F171" s="266">
        <v>1193.2241243699998</v>
      </c>
      <c r="G171" s="250">
        <f t="shared" si="7"/>
        <v>0.87521296399450021</v>
      </c>
    </row>
    <row r="172" spans="1:7" s="65" customFormat="1" ht="14">
      <c r="A172" s="242"/>
      <c r="B172" s="274" t="s">
        <v>116</v>
      </c>
      <c r="C172" s="269">
        <f t="shared" si="8"/>
        <v>1417.03190675</v>
      </c>
      <c r="D172" s="269">
        <v>1365.3190585</v>
      </c>
      <c r="E172" s="269">
        <v>51.71284825</v>
      </c>
      <c r="F172" s="269">
        <v>1237.1348274100001</v>
      </c>
      <c r="G172" s="255">
        <f t="shared" si="7"/>
        <v>0.87304655704429512</v>
      </c>
    </row>
    <row r="173" spans="1:7" s="65" customFormat="1" ht="14">
      <c r="A173" s="238">
        <v>2024</v>
      </c>
      <c r="B173" s="272" t="s">
        <v>105</v>
      </c>
      <c r="C173" s="271">
        <f t="shared" si="8"/>
        <v>1408.37</v>
      </c>
      <c r="D173" s="271">
        <v>1356.58</v>
      </c>
      <c r="E173" s="275">
        <v>51.79</v>
      </c>
      <c r="F173" s="271">
        <v>1243.10194179</v>
      </c>
      <c r="G173" s="257">
        <f t="shared" si="7"/>
        <v>0.88265295468520355</v>
      </c>
    </row>
    <row r="174" spans="1:7" s="65" customFormat="1" ht="14">
      <c r="A174" s="241"/>
      <c r="B174" s="273" t="s">
        <v>106</v>
      </c>
      <c r="C174" s="266">
        <f t="shared" si="8"/>
        <v>1401.91</v>
      </c>
      <c r="D174" s="276">
        <v>1350.02</v>
      </c>
      <c r="E174" s="266">
        <v>51.89</v>
      </c>
      <c r="F174" s="266">
        <v>1235.61455815</v>
      </c>
      <c r="G174" s="250">
        <f t="shared" si="7"/>
        <v>0.88137937396123855</v>
      </c>
    </row>
    <row r="175" spans="1:7" s="65" customFormat="1" ht="14">
      <c r="A175" s="241"/>
      <c r="B175" s="273" t="s">
        <v>107</v>
      </c>
      <c r="C175" s="266">
        <f t="shared" si="8"/>
        <v>1408.44</v>
      </c>
      <c r="D175" s="266">
        <v>1356.44</v>
      </c>
      <c r="E175" s="266">
        <v>52</v>
      </c>
      <c r="F175" s="266">
        <v>1247.6330902899999</v>
      </c>
      <c r="G175" s="250">
        <f t="shared" si="7"/>
        <v>0.88582622638522046</v>
      </c>
    </row>
    <row r="176" spans="1:7" s="65" customFormat="1" ht="14">
      <c r="A176" s="241"/>
      <c r="B176" s="273" t="s">
        <v>108</v>
      </c>
      <c r="C176" s="266">
        <f t="shared" si="8"/>
        <v>1387.4680000000001</v>
      </c>
      <c r="D176" s="266">
        <v>1335.39</v>
      </c>
      <c r="E176" s="276">
        <v>52.078000000000003</v>
      </c>
      <c r="F176" s="266">
        <v>1220.1199999999999</v>
      </c>
      <c r="G176" s="250">
        <f t="shared" si="7"/>
        <v>0.87938604710162671</v>
      </c>
    </row>
    <row r="177" spans="1:7" s="65" customFormat="1" ht="14">
      <c r="A177" s="241"/>
      <c r="B177" s="273" t="s">
        <v>109</v>
      </c>
      <c r="C177" s="266">
        <f t="shared" si="8"/>
        <v>1363.4349999999999</v>
      </c>
      <c r="D177" s="266">
        <v>1311.27</v>
      </c>
      <c r="E177" s="276">
        <v>52.164999999999999</v>
      </c>
      <c r="F177" s="266">
        <v>1192.3200000000002</v>
      </c>
      <c r="G177" s="250">
        <f t="shared" si="7"/>
        <v>0.87449713407679885</v>
      </c>
    </row>
    <row r="178" spans="1:7" s="65" customFormat="1" ht="14">
      <c r="A178" s="241"/>
      <c r="B178" s="273" t="s">
        <v>110</v>
      </c>
      <c r="C178" s="266">
        <f t="shared" si="8"/>
        <v>1353.67</v>
      </c>
      <c r="D178" s="266">
        <v>1301.44</v>
      </c>
      <c r="E178" s="266">
        <v>52.23</v>
      </c>
      <c r="F178" s="266">
        <v>1216.58</v>
      </c>
      <c r="G178" s="250">
        <f t="shared" si="7"/>
        <v>0.89872716393212515</v>
      </c>
    </row>
    <row r="179" spans="1:7" s="65" customFormat="1" ht="14">
      <c r="A179" s="241"/>
      <c r="B179" s="273" t="s">
        <v>117</v>
      </c>
      <c r="C179" s="266">
        <f t="shared" si="8"/>
        <v>1363.9189999999999</v>
      </c>
      <c r="D179" s="266">
        <v>1311.579</v>
      </c>
      <c r="E179" s="266">
        <v>52.34</v>
      </c>
      <c r="F179" s="266">
        <v>1193.58</v>
      </c>
      <c r="G179" s="250">
        <f t="shared" si="7"/>
        <v>0.87511061873908935</v>
      </c>
    </row>
    <row r="180" spans="1:7" s="65" customFormat="1" ht="14">
      <c r="A180" s="241"/>
      <c r="B180" s="273" t="s">
        <v>112</v>
      </c>
      <c r="C180" s="266">
        <f t="shared" si="8"/>
        <v>1361.0700000000002</v>
      </c>
      <c r="D180" s="266">
        <v>1308.67</v>
      </c>
      <c r="E180" s="266">
        <v>52.4</v>
      </c>
      <c r="F180" s="266">
        <v>1187.6199999999999</v>
      </c>
      <c r="G180" s="250">
        <f t="shared" si="7"/>
        <v>0.87256349783626097</v>
      </c>
    </row>
    <row r="181" spans="1:7" s="65" customFormat="1" ht="14">
      <c r="A181" s="241"/>
      <c r="B181" s="273" t="s">
        <v>113</v>
      </c>
      <c r="C181" s="266">
        <f t="shared" si="8"/>
        <v>1362.47</v>
      </c>
      <c r="D181" s="266">
        <v>1309.94</v>
      </c>
      <c r="E181" s="266">
        <v>52.53</v>
      </c>
      <c r="F181" s="266">
        <v>1211.3800000000001</v>
      </c>
      <c r="G181" s="250">
        <f t="shared" si="7"/>
        <v>0.88910581517391218</v>
      </c>
    </row>
    <row r="182" spans="1:7" s="65" customFormat="1" ht="14">
      <c r="A182" s="241"/>
      <c r="B182" s="273" t="s">
        <v>114</v>
      </c>
      <c r="C182" s="266">
        <f t="shared" si="8"/>
        <v>1353.729</v>
      </c>
      <c r="D182" s="266">
        <v>1301.1590000000001</v>
      </c>
      <c r="E182" s="266">
        <v>52.57</v>
      </c>
      <c r="F182" s="266">
        <v>1188.2</v>
      </c>
      <c r="G182" s="250">
        <f t="shared" si="7"/>
        <v>0.87772368029347081</v>
      </c>
    </row>
    <row r="183" spans="1:7" s="65" customFormat="1" ht="14">
      <c r="A183" s="241"/>
      <c r="B183" s="273" t="s">
        <v>115</v>
      </c>
      <c r="C183" s="266">
        <f t="shared" si="8"/>
        <v>1356.99</v>
      </c>
      <c r="D183" s="266">
        <v>1304.33</v>
      </c>
      <c r="E183" s="266">
        <v>52.66</v>
      </c>
      <c r="F183" s="266">
        <v>1203.1030000000001</v>
      </c>
      <c r="G183" s="250">
        <f t="shared" si="7"/>
        <v>0.88659680616658931</v>
      </c>
    </row>
    <row r="184" spans="1:7" s="65" customFormat="1" ht="14">
      <c r="A184" s="241"/>
      <c r="B184" s="273" t="s">
        <v>116</v>
      </c>
      <c r="C184" s="266">
        <f t="shared" si="8"/>
        <v>1401.44</v>
      </c>
      <c r="D184" s="266">
        <v>1348.71</v>
      </c>
      <c r="E184" s="266">
        <v>52.73</v>
      </c>
      <c r="F184" s="266">
        <v>1198.3059999999998</v>
      </c>
      <c r="G184" s="250">
        <f t="shared" si="7"/>
        <v>0.85505337367279355</v>
      </c>
    </row>
    <row r="185" spans="1:7" s="65" customFormat="1" ht="14">
      <c r="A185" s="238">
        <v>2025</v>
      </c>
      <c r="B185" s="272" t="s">
        <v>105</v>
      </c>
      <c r="C185" s="271">
        <f t="shared" si="8"/>
        <v>1437.0339999999999</v>
      </c>
      <c r="D185" s="271">
        <v>1384.2339999999999</v>
      </c>
      <c r="E185" s="271">
        <v>52.8</v>
      </c>
      <c r="F185" s="271">
        <v>1245.5999999999999</v>
      </c>
      <c r="G185" s="257">
        <f t="shared" si="7"/>
        <v>0.8667853370205576</v>
      </c>
    </row>
    <row r="186" spans="1:7" s="65" customFormat="1" ht="14">
      <c r="A186" s="239"/>
      <c r="B186" s="273" t="s">
        <v>106</v>
      </c>
      <c r="C186" s="266">
        <f t="shared" si="8"/>
        <v>1391.3799999999999</v>
      </c>
      <c r="D186" s="266">
        <v>1338.51</v>
      </c>
      <c r="E186" s="266">
        <v>52.87</v>
      </c>
      <c r="F186" s="266">
        <v>1224.4699999999998</v>
      </c>
      <c r="G186" s="250">
        <f t="shared" si="7"/>
        <v>0.88003996032715714</v>
      </c>
    </row>
    <row r="187" spans="1:7" s="65" customFormat="1" ht="14">
      <c r="A187" s="239"/>
      <c r="B187" s="273" t="s">
        <v>107</v>
      </c>
      <c r="C187" s="266">
        <f t="shared" si="8"/>
        <v>1410.6799999999998</v>
      </c>
      <c r="D187" s="266">
        <v>1357.81</v>
      </c>
      <c r="E187" s="266">
        <v>52.87</v>
      </c>
      <c r="F187" s="266">
        <v>1252.55</v>
      </c>
      <c r="G187" s="250">
        <f t="shared" si="7"/>
        <v>0.88790512377009678</v>
      </c>
    </row>
    <row r="188" spans="1:7" s="65" customFormat="1" ht="14">
      <c r="A188" s="239"/>
      <c r="B188" s="273" t="s">
        <v>108</v>
      </c>
      <c r="C188" s="266">
        <f t="shared" si="8"/>
        <v>1366.9290000000001</v>
      </c>
      <c r="D188" s="266">
        <v>1313.97</v>
      </c>
      <c r="E188" s="266">
        <v>52.959000000000003</v>
      </c>
      <c r="F188" s="266">
        <v>1206.26</v>
      </c>
      <c r="G188" s="250">
        <f t="shared" si="7"/>
        <v>0.88245987904273004</v>
      </c>
    </row>
    <row r="189" spans="1:7" s="65" customFormat="1" ht="14">
      <c r="A189" s="241"/>
      <c r="B189" s="273" t="s">
        <v>109</v>
      </c>
      <c r="C189" s="266">
        <f t="shared" si="8"/>
        <v>1350.271</v>
      </c>
      <c r="D189" s="266">
        <v>1297.22</v>
      </c>
      <c r="E189" s="266">
        <v>53.051000000000002</v>
      </c>
      <c r="F189" s="266">
        <v>1196.18</v>
      </c>
      <c r="G189" s="250">
        <f t="shared" si="7"/>
        <v>0.88588142676544201</v>
      </c>
    </row>
    <row r="190" spans="1:7" s="65" customFormat="1" ht="14">
      <c r="A190" s="241"/>
      <c r="B190" s="273" t="s">
        <v>110</v>
      </c>
      <c r="C190" s="266">
        <f t="shared" si="8"/>
        <v>1342.3610000000001</v>
      </c>
      <c r="D190" s="266">
        <v>1289.2370000000001</v>
      </c>
      <c r="E190" s="266">
        <v>53.124000000000002</v>
      </c>
      <c r="F190" s="266">
        <v>1197.9299999999998</v>
      </c>
      <c r="G190" s="250">
        <f t="shared" si="7"/>
        <v>0.8924052471727052</v>
      </c>
    </row>
    <row r="191" spans="1:7" s="65" customFormat="1" ht="14">
      <c r="A191" s="241"/>
      <c r="B191" s="273" t="s">
        <v>117</v>
      </c>
      <c r="C191" s="266">
        <f t="shared" si="8"/>
        <v>1348.69</v>
      </c>
      <c r="D191" s="266">
        <v>1295.46</v>
      </c>
      <c r="E191" s="266">
        <v>53.23</v>
      </c>
      <c r="F191" s="266">
        <v>1177.68</v>
      </c>
      <c r="G191" s="250">
        <f t="shared" si="7"/>
        <v>0.87320288576322214</v>
      </c>
    </row>
    <row r="192" spans="1:7" s="65" customFormat="1" ht="14">
      <c r="A192" s="241"/>
      <c r="B192" s="273" t="s">
        <v>112</v>
      </c>
      <c r="C192" s="266">
        <f t="shared" si="8"/>
        <v>1355.34</v>
      </c>
      <c r="D192" s="266">
        <v>1302.02</v>
      </c>
      <c r="E192" s="266">
        <v>53.32</v>
      </c>
      <c r="F192" s="266">
        <v>1212.8499999999999</v>
      </c>
      <c r="G192" s="250">
        <f t="shared" si="7"/>
        <v>0.89486770847167496</v>
      </c>
    </row>
    <row r="193" spans="1:7" s="65" customFormat="1" ht="14">
      <c r="A193" s="241"/>
      <c r="B193" s="273" t="s">
        <v>113</v>
      </c>
      <c r="C193" s="266">
        <f t="shared" si="8"/>
        <v>1339.6000000000001</v>
      </c>
      <c r="D193" s="266">
        <v>1286.2</v>
      </c>
      <c r="E193" s="266">
        <v>53.4</v>
      </c>
      <c r="F193" s="266">
        <v>1175.6300000000001</v>
      </c>
      <c r="G193" s="250">
        <f t="shared" si="7"/>
        <v>0.87759779038518959</v>
      </c>
    </row>
    <row r="194" spans="1:7" s="65" customFormat="1" ht="14">
      <c r="A194" s="241"/>
      <c r="B194" s="273" t="s">
        <v>114</v>
      </c>
      <c r="C194" s="266">
        <f t="shared" si="8"/>
        <v>1349.4480000000001</v>
      </c>
      <c r="D194" s="266">
        <v>1295.9770000000001</v>
      </c>
      <c r="E194" s="266">
        <v>53.470999999999997</v>
      </c>
      <c r="F194" s="266">
        <v>1185.54</v>
      </c>
      <c r="G194" s="250">
        <f t="shared" si="7"/>
        <v>0.87853700179628991</v>
      </c>
    </row>
    <row r="195" spans="1:7" s="65" customFormat="1" ht="14">
      <c r="A195" s="241"/>
      <c r="B195" s="273" t="s">
        <v>115</v>
      </c>
      <c r="C195" s="266">
        <f t="shared" si="8"/>
        <v>1341.6669999999999</v>
      </c>
      <c r="D195" s="266">
        <v>1288.0899999999999</v>
      </c>
      <c r="E195" s="266">
        <v>53.576999999999998</v>
      </c>
      <c r="F195" s="266">
        <v>1192.3599999999999</v>
      </c>
      <c r="G195" s="250">
        <f t="shared" si="7"/>
        <v>0.88871530715147651</v>
      </c>
    </row>
    <row r="196" spans="1:7" s="65" customFormat="1" ht="14">
      <c r="A196" s="242"/>
      <c r="B196" s="274" t="s">
        <v>116</v>
      </c>
      <c r="C196" s="269">
        <f t="shared" si="8"/>
        <v>1385.58</v>
      </c>
      <c r="D196" s="269">
        <v>1331.941</v>
      </c>
      <c r="E196" s="269">
        <v>53.639000000000003</v>
      </c>
      <c r="F196" s="269">
        <v>1180.76</v>
      </c>
      <c r="G196" s="255">
        <f t="shared" si="7"/>
        <v>0.85217742750328385</v>
      </c>
    </row>
    <row r="197" spans="1:7" s="65" customFormat="1" ht="13">
      <c r="B197" s="152"/>
      <c r="C197" s="153"/>
      <c r="D197" s="153"/>
      <c r="E197" s="153"/>
      <c r="F197" s="154"/>
      <c r="G197" s="113"/>
    </row>
    <row r="198" spans="1:7" s="65" customFormat="1" ht="13">
      <c r="A198" s="171" t="s">
        <v>118</v>
      </c>
      <c r="B198" s="152"/>
      <c r="C198" s="153"/>
      <c r="D198" s="154"/>
      <c r="E198" s="155"/>
      <c r="F198" s="154"/>
      <c r="G198" s="200"/>
    </row>
    <row r="199" spans="1:7" s="65" customFormat="1" ht="13">
      <c r="A199" s="152"/>
      <c r="B199" s="152"/>
      <c r="C199" s="156"/>
      <c r="D199" s="157"/>
      <c r="E199" s="158"/>
      <c r="F199" s="154"/>
      <c r="G199" s="200"/>
    </row>
    <row r="200" spans="1:7" s="65" customFormat="1" ht="13">
      <c r="A200" s="161" t="s">
        <v>119</v>
      </c>
      <c r="B200" s="159"/>
      <c r="C200" s="159"/>
      <c r="D200" s="154"/>
      <c r="E200" s="158"/>
      <c r="F200" s="154"/>
      <c r="G200" s="61"/>
    </row>
    <row r="201" spans="1:7" s="65" customFormat="1" ht="13">
      <c r="A201" s="161" t="s">
        <v>120</v>
      </c>
      <c r="B201" s="59"/>
      <c r="C201" s="62"/>
      <c r="D201" s="204"/>
      <c r="E201" s="204"/>
      <c r="F201" s="204"/>
      <c r="G201" s="61"/>
    </row>
    <row r="202" spans="1:7" s="65" customFormat="1" ht="13">
      <c r="A202" s="161"/>
      <c r="B202" s="59"/>
      <c r="C202" s="198"/>
      <c r="D202" s="204"/>
      <c r="E202" s="205"/>
      <c r="F202" s="204"/>
      <c r="G202" s="64"/>
    </row>
    <row r="203" spans="1:7">
      <c r="C203" s="62"/>
      <c r="D203" s="60"/>
      <c r="E203" s="63"/>
      <c r="F203" s="63"/>
      <c r="G203" s="63"/>
    </row>
    <row r="204" spans="1:7">
      <c r="F204" s="63"/>
    </row>
    <row r="205" spans="1:7">
      <c r="F205" s="63"/>
    </row>
    <row r="206" spans="1:7">
      <c r="F206" s="63"/>
    </row>
    <row r="207" spans="1:7">
      <c r="F207" s="63"/>
    </row>
    <row r="208" spans="1:7">
      <c r="F208" s="63"/>
    </row>
    <row r="209" spans="6:6">
      <c r="F209" s="63"/>
    </row>
    <row r="210" spans="6:6">
      <c r="F210" s="63"/>
    </row>
    <row r="211" spans="6:6">
      <c r="F211" s="63"/>
    </row>
    <row r="212" spans="6:6">
      <c r="F212" s="63"/>
    </row>
    <row r="213" spans="6:6">
      <c r="F213" s="63"/>
    </row>
    <row r="214" spans="6:6">
      <c r="F214" s="63"/>
    </row>
    <row r="215" spans="6:6">
      <c r="F215" s="63"/>
    </row>
    <row r="216" spans="6:6">
      <c r="F216" s="63"/>
    </row>
    <row r="217" spans="6:6">
      <c r="F217" s="63"/>
    </row>
    <row r="218" spans="6:6">
      <c r="F218" s="63"/>
    </row>
    <row r="219" spans="6:6">
      <c r="F219" s="63"/>
    </row>
  </sheetData>
  <sheetProtection sheet="1" formatCells="0" insertColumns="0" insertRows="0" deleteColumns="0" deleteRows="0"/>
  <mergeCells count="6">
    <mergeCell ref="A1:G1"/>
    <mergeCell ref="G3:G4"/>
    <mergeCell ref="A2:G2"/>
    <mergeCell ref="A3:B4"/>
    <mergeCell ref="C3:E3"/>
    <mergeCell ref="F3:F4"/>
  </mergeCells>
  <printOptions horizontalCentered="1"/>
  <pageMargins left="0.7" right="0.7" top="0.75" bottom="0.75" header="0.3" footer="0.3"/>
  <pageSetup paperSize="9" orientation="landscape" r:id="rId1"/>
  <ignoredErrors>
    <ignoredError sqref="C125:C127 G125:G127" unlocked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2"/>
  <sheetViews>
    <sheetView showGridLines="0" showRowColHeaders="0" topLeftCell="A18" zoomScaleNormal="100" workbookViewId="0">
      <selection activeCell="P53" sqref="P53"/>
    </sheetView>
  </sheetViews>
  <sheetFormatPr defaultRowHeight="14.5"/>
  <cols>
    <col min="7" max="7" width="8.81640625" customWidth="1"/>
  </cols>
  <sheetData>
    <row r="1" spans="1:9">
      <c r="B1" s="210"/>
      <c r="C1" s="210"/>
      <c r="D1" s="210"/>
      <c r="E1" s="210"/>
      <c r="F1" s="210"/>
      <c r="G1" s="210"/>
      <c r="H1" s="211"/>
      <c r="I1" s="211"/>
    </row>
    <row r="2" spans="1:9" ht="25.5">
      <c r="A2" s="596" t="s">
        <v>409</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655"/>
  <sheetViews>
    <sheetView zoomScaleNormal="100" workbookViewId="0">
      <selection activeCell="E16" sqref="E16"/>
    </sheetView>
  </sheetViews>
  <sheetFormatPr defaultColWidth="8.81640625" defaultRowHeight="13"/>
  <cols>
    <col min="1" max="1" width="8.81640625" style="119"/>
    <col min="2" max="2" width="11" style="119" customWidth="1"/>
    <col min="3" max="6" width="17.1796875" style="119" customWidth="1"/>
    <col min="7" max="16384" width="8.81640625" style="119"/>
  </cols>
  <sheetData>
    <row r="1" spans="1:10" s="65" customFormat="1" ht="15.5">
      <c r="A1" s="709" t="s">
        <v>355</v>
      </c>
      <c r="B1" s="709"/>
      <c r="C1" s="709"/>
      <c r="D1" s="709"/>
      <c r="E1" s="709"/>
      <c r="F1" s="709"/>
    </row>
    <row r="2" spans="1:10" s="65" customFormat="1">
      <c r="A2" s="68"/>
    </row>
    <row r="3" spans="1:10" s="65" customFormat="1">
      <c r="A3" s="831" t="s">
        <v>356</v>
      </c>
      <c r="B3" s="831"/>
      <c r="C3" s="831"/>
      <c r="D3" s="831"/>
      <c r="E3" s="831"/>
      <c r="F3" s="831"/>
    </row>
    <row r="4" spans="1:10">
      <c r="A4" s="65"/>
    </row>
    <row r="5" spans="1:10" ht="14">
      <c r="A5" s="827" t="s">
        <v>357</v>
      </c>
      <c r="B5" s="827"/>
      <c r="C5" s="827"/>
      <c r="D5" s="827"/>
      <c r="E5" s="827"/>
      <c r="F5" s="827"/>
    </row>
    <row r="6" spans="1:10" ht="14">
      <c r="A6" s="804" t="s">
        <v>98</v>
      </c>
      <c r="B6" s="805"/>
      <c r="C6" s="828" t="s">
        <v>358</v>
      </c>
      <c r="D6" s="819"/>
      <c r="E6" s="819"/>
      <c r="F6" s="820"/>
    </row>
    <row r="7" spans="1:10" ht="45" customHeight="1">
      <c r="A7" s="814"/>
      <c r="B7" s="815"/>
      <c r="C7" s="277" t="s">
        <v>359</v>
      </c>
      <c r="D7" s="277" t="s">
        <v>360</v>
      </c>
      <c r="E7" s="277" t="s">
        <v>361</v>
      </c>
      <c r="F7" s="376" t="s">
        <v>362</v>
      </c>
    </row>
    <row r="8" spans="1:10" ht="14">
      <c r="A8" s="238">
        <v>2020</v>
      </c>
      <c r="B8" s="247" t="s">
        <v>112</v>
      </c>
      <c r="C8" s="578">
        <v>39.790126034960757</v>
      </c>
      <c r="D8" s="578">
        <v>80.357595236575662</v>
      </c>
      <c r="E8" s="578">
        <v>58.493253624968403</v>
      </c>
      <c r="F8" s="579">
        <v>47.001469242650579</v>
      </c>
      <c r="G8" s="203"/>
      <c r="H8" s="203"/>
      <c r="I8" s="203"/>
      <c r="J8" s="203"/>
    </row>
    <row r="9" spans="1:10" ht="14">
      <c r="A9" s="239"/>
      <c r="B9" s="273" t="s">
        <v>113</v>
      </c>
      <c r="C9" s="580">
        <v>40.63751760089459</v>
      </c>
      <c r="D9" s="580">
        <v>48.802105692224011</v>
      </c>
      <c r="E9" s="580">
        <v>46.351811583863807</v>
      </c>
      <c r="F9" s="581">
        <v>75.154540670048476</v>
      </c>
      <c r="G9" s="203"/>
      <c r="H9" s="203"/>
      <c r="I9" s="203"/>
      <c r="J9" s="203"/>
    </row>
    <row r="10" spans="1:10" ht="14">
      <c r="A10" s="239"/>
      <c r="B10" s="273" t="s">
        <v>114</v>
      </c>
      <c r="C10" s="580">
        <v>50.854623042766839</v>
      </c>
      <c r="D10" s="580">
        <v>49.751088980003807</v>
      </c>
      <c r="E10" s="580">
        <v>49.846554037696059</v>
      </c>
      <c r="F10" s="581">
        <v>54.683294145852038</v>
      </c>
      <c r="G10" s="203"/>
      <c r="H10" s="203"/>
      <c r="I10" s="203"/>
      <c r="J10" s="203"/>
    </row>
    <row r="11" spans="1:10" ht="14">
      <c r="A11" s="239"/>
      <c r="B11" s="273" t="s">
        <v>115</v>
      </c>
      <c r="C11" s="580">
        <v>54.745600751090123</v>
      </c>
      <c r="D11" s="580">
        <v>52.325829517325751</v>
      </c>
      <c r="E11" s="580">
        <v>53.402644580404854</v>
      </c>
      <c r="F11" s="581">
        <v>49.271556936840753</v>
      </c>
      <c r="G11" s="203"/>
      <c r="H11" s="203"/>
      <c r="I11" s="203"/>
      <c r="J11" s="203"/>
    </row>
    <row r="12" spans="1:10" ht="14">
      <c r="A12" s="239"/>
      <c r="B12" s="274" t="s">
        <v>116</v>
      </c>
      <c r="C12" s="582">
        <v>64.776566654690711</v>
      </c>
      <c r="D12" s="582">
        <v>51.511130779704352</v>
      </c>
      <c r="E12" s="582">
        <v>49.287085786354801</v>
      </c>
      <c r="F12" s="583">
        <v>55.672542235797103</v>
      </c>
      <c r="G12" s="203"/>
      <c r="H12" s="203"/>
      <c r="I12" s="203"/>
      <c r="J12" s="203"/>
    </row>
    <row r="13" spans="1:10" ht="14">
      <c r="A13" s="597">
        <v>2021</v>
      </c>
      <c r="B13" s="272" t="s">
        <v>105</v>
      </c>
      <c r="C13" s="578">
        <v>49.178714671108111</v>
      </c>
      <c r="D13" s="578">
        <v>61.730992909771842</v>
      </c>
      <c r="E13" s="578">
        <v>68.19779846778691</v>
      </c>
      <c r="F13" s="579">
        <v>58.952141085163923</v>
      </c>
      <c r="G13" s="203"/>
      <c r="H13" s="203"/>
      <c r="I13" s="203"/>
      <c r="J13" s="203"/>
    </row>
    <row r="14" spans="1:10" ht="14">
      <c r="A14" s="284"/>
      <c r="B14" s="273" t="s">
        <v>106</v>
      </c>
      <c r="C14" s="580">
        <v>47.478658942351913</v>
      </c>
      <c r="D14" s="580">
        <v>48.778932261693029</v>
      </c>
      <c r="E14" s="580">
        <v>50.308301101668377</v>
      </c>
      <c r="F14" s="581">
        <v>80.948717682920034</v>
      </c>
      <c r="G14" s="203"/>
      <c r="H14" s="203"/>
      <c r="I14" s="203"/>
      <c r="J14" s="203"/>
    </row>
    <row r="15" spans="1:10" ht="14">
      <c r="A15" s="284"/>
      <c r="B15" s="273" t="s">
        <v>107</v>
      </c>
      <c r="C15" s="580">
        <v>52.47928575275975</v>
      </c>
      <c r="D15" s="580">
        <v>83.98500537865992</v>
      </c>
      <c r="E15" s="580">
        <v>64.366926751241039</v>
      </c>
      <c r="F15" s="581">
        <v>77.033587048844723</v>
      </c>
      <c r="G15" s="203"/>
      <c r="H15" s="203"/>
      <c r="I15" s="203"/>
      <c r="J15" s="203"/>
    </row>
    <row r="16" spans="1:10" ht="14">
      <c r="A16" s="284"/>
      <c r="B16" s="273" t="s">
        <v>108</v>
      </c>
      <c r="C16" s="580">
        <v>49.934449414020158</v>
      </c>
      <c r="D16" s="580">
        <v>40.083194800793663</v>
      </c>
      <c r="E16" s="580">
        <v>56.656349287932962</v>
      </c>
      <c r="F16" s="581">
        <v>73.082847336600835</v>
      </c>
      <c r="G16" s="203"/>
      <c r="H16" s="203"/>
      <c r="I16" s="203"/>
      <c r="J16" s="203"/>
    </row>
    <row r="17" spans="1:10" ht="14">
      <c r="A17" s="284"/>
      <c r="B17" s="273" t="s">
        <v>109</v>
      </c>
      <c r="C17" s="580">
        <v>51.553352401615108</v>
      </c>
      <c r="D17" s="580">
        <v>40.338033705865783</v>
      </c>
      <c r="E17" s="580">
        <v>71.11701134058076</v>
      </c>
      <c r="F17" s="581">
        <v>48.566204026068093</v>
      </c>
      <c r="G17" s="203"/>
      <c r="H17" s="203"/>
      <c r="I17" s="203"/>
      <c r="J17" s="203"/>
    </row>
    <row r="18" spans="1:10" ht="14">
      <c r="A18" s="284"/>
      <c r="B18" s="273" t="s">
        <v>110</v>
      </c>
      <c r="C18" s="580">
        <v>45.338419115057683</v>
      </c>
      <c r="D18" s="580">
        <v>48.246222478312099</v>
      </c>
      <c r="E18" s="580">
        <v>49.23067235673436</v>
      </c>
      <c r="F18" s="581">
        <v>56.349561739663002</v>
      </c>
      <c r="G18" s="203"/>
      <c r="H18" s="203"/>
      <c r="I18" s="203"/>
      <c r="J18" s="203"/>
    </row>
    <row r="19" spans="1:10" ht="14">
      <c r="A19" s="284"/>
      <c r="B19" s="273" t="s">
        <v>117</v>
      </c>
      <c r="C19" s="580">
        <v>52.665711141300093</v>
      </c>
      <c r="D19" s="580">
        <v>61.540785412315557</v>
      </c>
      <c r="E19" s="580">
        <v>40.796116729016759</v>
      </c>
      <c r="F19" s="581">
        <v>51.534055335225197</v>
      </c>
      <c r="G19" s="203"/>
      <c r="H19" s="203"/>
      <c r="I19" s="203"/>
      <c r="J19" s="203"/>
    </row>
    <row r="20" spans="1:10" ht="14">
      <c r="A20" s="284"/>
      <c r="B20" s="273" t="s">
        <v>112</v>
      </c>
      <c r="C20" s="580">
        <v>41.736738371664089</v>
      </c>
      <c r="D20" s="580">
        <v>31.734377226163659</v>
      </c>
      <c r="E20" s="580">
        <v>44.882205540659207</v>
      </c>
      <c r="F20" s="581">
        <v>64.551414248930172</v>
      </c>
      <c r="G20" s="203"/>
      <c r="H20" s="203"/>
      <c r="I20" s="203"/>
      <c r="J20" s="203"/>
    </row>
    <row r="21" spans="1:10" ht="14">
      <c r="A21" s="284"/>
      <c r="B21" s="273" t="s">
        <v>113</v>
      </c>
      <c r="C21" s="580">
        <v>38.656945204205734</v>
      </c>
      <c r="D21" s="580">
        <v>41.776270075628148</v>
      </c>
      <c r="E21" s="580">
        <v>28.071230163134171</v>
      </c>
      <c r="F21" s="581">
        <v>10.74591720311397</v>
      </c>
      <c r="G21" s="203"/>
      <c r="H21" s="203"/>
      <c r="I21" s="203"/>
      <c r="J21" s="203"/>
    </row>
    <row r="22" spans="1:10" ht="14">
      <c r="A22" s="284"/>
      <c r="B22" s="273" t="s">
        <v>114</v>
      </c>
      <c r="C22" s="580">
        <v>4.8524850808323956</v>
      </c>
      <c r="D22" s="580">
        <v>42.937023225730087</v>
      </c>
      <c r="E22" s="580">
        <v>45.319771078653893</v>
      </c>
      <c r="F22" s="581">
        <v>68.999999321901726</v>
      </c>
      <c r="G22" s="203"/>
      <c r="H22" s="203"/>
      <c r="I22" s="203"/>
      <c r="J22" s="203"/>
    </row>
    <row r="23" spans="1:10" ht="14">
      <c r="A23" s="239"/>
      <c r="B23" s="273" t="s">
        <v>115</v>
      </c>
      <c r="C23" s="580">
        <v>7.5393029610974871</v>
      </c>
      <c r="D23" s="580">
        <v>45.153208483385917</v>
      </c>
      <c r="E23" s="580">
        <v>46.050168021984902</v>
      </c>
      <c r="F23" s="581">
        <v>57.206672156796728</v>
      </c>
      <c r="G23" s="203"/>
      <c r="H23" s="203"/>
      <c r="I23" s="203"/>
      <c r="J23" s="203"/>
    </row>
    <row r="24" spans="1:10" ht="14">
      <c r="A24" s="240"/>
      <c r="B24" s="274" t="s">
        <v>116</v>
      </c>
      <c r="C24" s="582">
        <v>50.725538063237103</v>
      </c>
      <c r="D24" s="582">
        <v>64.295399796592974</v>
      </c>
      <c r="E24" s="582">
        <v>46.442453535856266</v>
      </c>
      <c r="F24" s="582">
        <v>64.602617766170908</v>
      </c>
      <c r="G24" s="203"/>
      <c r="H24" s="203"/>
      <c r="I24" s="203"/>
      <c r="J24" s="203"/>
    </row>
    <row r="25" spans="1:10" ht="14">
      <c r="A25" s="238">
        <v>2022</v>
      </c>
      <c r="B25" s="272" t="s">
        <v>105</v>
      </c>
      <c r="C25" s="578">
        <v>47.40324777589332</v>
      </c>
      <c r="D25" s="578">
        <v>42.996587166442268</v>
      </c>
      <c r="E25" s="578">
        <v>54.834820390830927</v>
      </c>
      <c r="F25" s="578">
        <v>68.257772501107823</v>
      </c>
      <c r="G25" s="203"/>
      <c r="H25" s="203"/>
      <c r="I25" s="203"/>
      <c r="J25" s="203"/>
    </row>
    <row r="26" spans="1:10" ht="14">
      <c r="A26" s="239"/>
      <c r="B26" s="273" t="s">
        <v>106</v>
      </c>
      <c r="C26" s="580">
        <v>10.371459120640299</v>
      </c>
      <c r="D26" s="580">
        <v>63.17738093403041</v>
      </c>
      <c r="E26" s="580">
        <v>47.581592459787089</v>
      </c>
      <c r="F26" s="580">
        <v>54.911793807482589</v>
      </c>
      <c r="G26" s="203"/>
      <c r="H26" s="203"/>
      <c r="I26" s="203"/>
      <c r="J26" s="203"/>
    </row>
    <row r="27" spans="1:10" ht="14">
      <c r="A27" s="239"/>
      <c r="B27" s="273" t="s">
        <v>107</v>
      </c>
      <c r="C27" s="580">
        <v>48.425747711221639</v>
      </c>
      <c r="D27" s="580">
        <v>30.215614708905349</v>
      </c>
      <c r="E27" s="580">
        <v>49.40805039640351</v>
      </c>
      <c r="F27" s="580">
        <v>63.845836594106608</v>
      </c>
      <c r="G27" s="203"/>
      <c r="H27" s="203"/>
      <c r="I27" s="203"/>
      <c r="J27" s="203"/>
    </row>
    <row r="28" spans="1:10" ht="14">
      <c r="A28" s="239"/>
      <c r="B28" s="273" t="s">
        <v>108</v>
      </c>
      <c r="C28" s="580">
        <v>64.935768426669554</v>
      </c>
      <c r="D28" s="580">
        <v>77.561022213290158</v>
      </c>
      <c r="E28" s="580">
        <v>53.011072272026418</v>
      </c>
      <c r="F28" s="580">
        <v>51.165143935089397</v>
      </c>
      <c r="G28" s="203"/>
      <c r="H28" s="203"/>
      <c r="I28" s="203"/>
      <c r="J28" s="203"/>
    </row>
    <row r="29" spans="1:10" ht="14">
      <c r="A29" s="239"/>
      <c r="B29" s="273" t="s">
        <v>109</v>
      </c>
      <c r="C29" s="580">
        <v>48.853281773112087</v>
      </c>
      <c r="D29" s="580">
        <v>59.056406604831899</v>
      </c>
      <c r="E29" s="580">
        <v>54.288712990355748</v>
      </c>
      <c r="F29" s="580">
        <v>51.426168639364747</v>
      </c>
      <c r="G29" s="203"/>
      <c r="H29" s="203"/>
      <c r="I29" s="203"/>
      <c r="J29" s="203"/>
    </row>
    <row r="30" spans="1:10" ht="14">
      <c r="A30" s="239"/>
      <c r="B30" s="273" t="s">
        <v>110</v>
      </c>
      <c r="C30" s="580">
        <v>49.912345816354893</v>
      </c>
      <c r="D30" s="580">
        <v>33.262449290272237</v>
      </c>
      <c r="E30" s="580">
        <v>52.384347281396927</v>
      </c>
      <c r="F30" s="580">
        <v>67.871786120764014</v>
      </c>
      <c r="G30" s="203"/>
      <c r="H30" s="203"/>
      <c r="I30" s="203"/>
      <c r="J30" s="203"/>
    </row>
    <row r="31" spans="1:10" ht="14">
      <c r="A31" s="239"/>
      <c r="B31" s="273" t="s">
        <v>117</v>
      </c>
      <c r="C31" s="580">
        <v>39.214646348088863</v>
      </c>
      <c r="D31" s="580">
        <v>51.534990058932927</v>
      </c>
      <c r="E31" s="580">
        <v>17.78870059686675</v>
      </c>
      <c r="F31" s="580">
        <v>73.614179477127294</v>
      </c>
      <c r="G31" s="203"/>
      <c r="H31" s="203"/>
      <c r="I31" s="203"/>
      <c r="J31" s="203"/>
    </row>
    <row r="32" spans="1:10" ht="14">
      <c r="A32" s="239"/>
      <c r="B32" s="273" t="s">
        <v>112</v>
      </c>
      <c r="C32" s="580">
        <v>50.309108479135453</v>
      </c>
      <c r="D32" s="580">
        <v>49.402159301103232</v>
      </c>
      <c r="E32" s="580">
        <v>14.988789150686211</v>
      </c>
      <c r="F32" s="580">
        <v>51.301568566710714</v>
      </c>
      <c r="G32" s="203"/>
      <c r="H32" s="203"/>
      <c r="I32" s="203"/>
      <c r="J32" s="203"/>
    </row>
    <row r="33" spans="1:10" ht="14">
      <c r="A33" s="239"/>
      <c r="B33" s="273" t="s">
        <v>113</v>
      </c>
      <c r="C33" s="580">
        <v>52.403839801249092</v>
      </c>
      <c r="D33" s="580">
        <v>19.115547964018571</v>
      </c>
      <c r="E33" s="580">
        <v>52.287162971203117</v>
      </c>
      <c r="F33" s="580">
        <v>41.77007885277812</v>
      </c>
      <c r="G33" s="203"/>
      <c r="H33" s="203"/>
      <c r="I33" s="203"/>
      <c r="J33" s="203"/>
    </row>
    <row r="34" spans="1:10" ht="14">
      <c r="A34" s="239"/>
      <c r="B34" s="273" t="s">
        <v>114</v>
      </c>
      <c r="C34" s="580">
        <v>49.396870533564837</v>
      </c>
      <c r="D34" s="580">
        <v>50.511285273319587</v>
      </c>
      <c r="E34" s="580">
        <v>58.818290146509099</v>
      </c>
      <c r="F34" s="580">
        <v>24.593677827833361</v>
      </c>
      <c r="G34" s="203"/>
      <c r="H34" s="203"/>
      <c r="I34" s="203"/>
      <c r="J34" s="203"/>
    </row>
    <row r="35" spans="1:10" ht="14">
      <c r="A35" s="239"/>
      <c r="B35" s="273" t="s">
        <v>115</v>
      </c>
      <c r="C35" s="580">
        <v>46.267666883153979</v>
      </c>
      <c r="D35" s="580">
        <v>22.276457890983401</v>
      </c>
      <c r="E35" s="580">
        <v>67.134179966778873</v>
      </c>
      <c r="F35" s="580">
        <v>62.621410776149347</v>
      </c>
      <c r="G35" s="203"/>
      <c r="H35" s="203"/>
      <c r="I35" s="203"/>
      <c r="J35" s="203"/>
    </row>
    <row r="36" spans="1:10" ht="14">
      <c r="A36" s="240"/>
      <c r="B36" s="274" t="s">
        <v>116</v>
      </c>
      <c r="C36" s="582">
        <v>50.014139323930692</v>
      </c>
      <c r="D36" s="582">
        <v>47.785974331563892</v>
      </c>
      <c r="E36" s="582">
        <v>51.869574794942309</v>
      </c>
      <c r="F36" s="582">
        <v>52.5677032932307</v>
      </c>
      <c r="G36" s="203"/>
      <c r="H36" s="203"/>
      <c r="I36" s="203"/>
      <c r="J36" s="203"/>
    </row>
    <row r="37" spans="1:10" ht="14">
      <c r="A37" s="238">
        <v>2023</v>
      </c>
      <c r="B37" s="272" t="s">
        <v>105</v>
      </c>
      <c r="C37" s="578">
        <v>40.385508748625057</v>
      </c>
      <c r="D37" s="578">
        <v>52.150798795542102</v>
      </c>
      <c r="E37" s="578">
        <v>55.818436337008293</v>
      </c>
      <c r="F37" s="578">
        <v>47.956280079892949</v>
      </c>
      <c r="G37" s="203"/>
      <c r="H37" s="203"/>
      <c r="I37" s="203"/>
      <c r="J37" s="203"/>
    </row>
    <row r="38" spans="1:10" ht="14">
      <c r="A38" s="239"/>
      <c r="B38" s="273" t="s">
        <v>106</v>
      </c>
      <c r="C38" s="580">
        <v>67.351560892425837</v>
      </c>
      <c r="D38" s="580">
        <v>83.79736022241822</v>
      </c>
      <c r="E38" s="580">
        <v>36.473512230100717</v>
      </c>
      <c r="F38" s="580">
        <v>66.060897214314295</v>
      </c>
      <c r="G38" s="203"/>
      <c r="H38" s="203"/>
      <c r="I38" s="203"/>
      <c r="J38" s="203"/>
    </row>
    <row r="39" spans="1:10" ht="14">
      <c r="A39" s="239"/>
      <c r="B39" s="273" t="s">
        <v>107</v>
      </c>
      <c r="C39" s="580">
        <v>67.219151853940303</v>
      </c>
      <c r="D39" s="580">
        <v>41.928731678213147</v>
      </c>
      <c r="E39" s="580">
        <v>52.854125874016553</v>
      </c>
      <c r="F39" s="580">
        <v>41.426057979546918</v>
      </c>
      <c r="G39" s="203"/>
      <c r="H39" s="203"/>
      <c r="I39" s="203"/>
      <c r="J39" s="203"/>
    </row>
    <row r="40" spans="1:10" ht="14">
      <c r="A40" s="239"/>
      <c r="B40" s="273" t="s">
        <v>108</v>
      </c>
      <c r="C40" s="580">
        <v>47.716499269186833</v>
      </c>
      <c r="D40" s="580">
        <v>74.78584231418796</v>
      </c>
      <c r="E40" s="580">
        <v>49.746231481233522</v>
      </c>
      <c r="F40" s="580">
        <v>39.439925681645299</v>
      </c>
      <c r="G40" s="203"/>
      <c r="H40" s="203"/>
      <c r="I40" s="203"/>
      <c r="J40" s="203"/>
    </row>
    <row r="41" spans="1:10" ht="14">
      <c r="A41" s="239"/>
      <c r="B41" s="273" t="s">
        <v>109</v>
      </c>
      <c r="C41" s="580">
        <v>37.532877968806247</v>
      </c>
      <c r="D41" s="580">
        <v>41.806796959106627</v>
      </c>
      <c r="E41" s="580">
        <v>60.812006367923438</v>
      </c>
      <c r="F41" s="580">
        <v>60.64384717991571</v>
      </c>
      <c r="G41" s="203"/>
      <c r="H41" s="203"/>
      <c r="I41" s="203"/>
      <c r="J41" s="203"/>
    </row>
    <row r="42" spans="1:10" ht="14">
      <c r="A42" s="239"/>
      <c r="B42" s="273" t="s">
        <v>110</v>
      </c>
      <c r="C42" s="580">
        <v>69.583822850444534</v>
      </c>
      <c r="D42" s="580">
        <v>15.834614685190511</v>
      </c>
      <c r="E42" s="580">
        <v>52.445823904135821</v>
      </c>
      <c r="F42" s="580">
        <v>42.085866127803961</v>
      </c>
      <c r="G42" s="203"/>
      <c r="H42" s="203"/>
      <c r="I42" s="203"/>
      <c r="J42" s="203"/>
    </row>
    <row r="43" spans="1:10" ht="14">
      <c r="A43" s="239"/>
      <c r="B43" s="273" t="s">
        <v>117</v>
      </c>
      <c r="C43" s="580">
        <v>66.48977269203165</v>
      </c>
      <c r="D43" s="580">
        <v>46.487914220931223</v>
      </c>
      <c r="E43" s="580">
        <v>52.234517522103182</v>
      </c>
      <c r="F43" s="580">
        <v>78.723167829576269</v>
      </c>
      <c r="G43" s="203"/>
      <c r="H43" s="203"/>
      <c r="I43" s="203"/>
      <c r="J43" s="203"/>
    </row>
    <row r="44" spans="1:10" ht="14">
      <c r="A44" s="239"/>
      <c r="B44" s="273" t="s">
        <v>112</v>
      </c>
      <c r="C44" s="580">
        <v>62.865474335638822</v>
      </c>
      <c r="D44" s="580">
        <v>29.866186817905231</v>
      </c>
      <c r="E44" s="580">
        <v>53.847598590205862</v>
      </c>
      <c r="F44" s="580">
        <v>78.228122966240264</v>
      </c>
      <c r="G44" s="203"/>
      <c r="H44" s="203"/>
      <c r="I44" s="203"/>
      <c r="J44" s="203"/>
    </row>
    <row r="45" spans="1:10" ht="14">
      <c r="A45" s="239"/>
      <c r="B45" s="273" t="s">
        <v>113</v>
      </c>
      <c r="C45" s="580">
        <v>51.752740676934323</v>
      </c>
      <c r="D45" s="580">
        <v>25.270892347173401</v>
      </c>
      <c r="E45" s="580">
        <v>33.689015522219869</v>
      </c>
      <c r="F45" s="580">
        <v>54.909265363871519</v>
      </c>
      <c r="G45" s="203"/>
      <c r="H45" s="203"/>
      <c r="I45" s="203"/>
      <c r="J45" s="203"/>
    </row>
    <row r="46" spans="1:10" ht="14">
      <c r="A46" s="239"/>
      <c r="B46" s="273" t="s">
        <v>114</v>
      </c>
      <c r="C46" s="580">
        <v>81.365783792261098</v>
      </c>
      <c r="D46" s="580">
        <v>49.838798382406146</v>
      </c>
      <c r="E46" s="580">
        <v>74.769853377889277</v>
      </c>
      <c r="F46" s="580">
        <v>32.311522853090281</v>
      </c>
      <c r="G46" s="203"/>
      <c r="H46" s="203"/>
      <c r="I46" s="203"/>
      <c r="J46" s="203"/>
    </row>
    <row r="47" spans="1:10" ht="14">
      <c r="A47" s="239"/>
      <c r="B47" s="273" t="s">
        <v>115</v>
      </c>
      <c r="C47" s="580">
        <v>49.556882220515178</v>
      </c>
      <c r="D47" s="580">
        <v>50.635042342599398</v>
      </c>
      <c r="E47" s="580">
        <v>68.277037235979108</v>
      </c>
      <c r="F47" s="580">
        <v>53.199410616935353</v>
      </c>
      <c r="G47" s="203"/>
      <c r="H47" s="203"/>
      <c r="I47" s="203"/>
      <c r="J47" s="203"/>
    </row>
    <row r="48" spans="1:10" ht="14">
      <c r="A48" s="240"/>
      <c r="B48" s="274" t="s">
        <v>116</v>
      </c>
      <c r="C48" s="582">
        <v>36.346322473154991</v>
      </c>
      <c r="D48" s="582">
        <v>79.855923727794973</v>
      </c>
      <c r="E48" s="582">
        <v>67.335587682962583</v>
      </c>
      <c r="F48" s="582">
        <v>21.914785922850029</v>
      </c>
      <c r="G48" s="203"/>
      <c r="H48" s="203"/>
      <c r="I48" s="203"/>
      <c r="J48" s="203"/>
    </row>
    <row r="49" spans="1:10" ht="14">
      <c r="A49" s="238">
        <v>2024</v>
      </c>
      <c r="B49" s="272" t="s">
        <v>105</v>
      </c>
      <c r="C49" s="578">
        <v>71.414253250026206</v>
      </c>
      <c r="D49" s="578">
        <v>41.934539135378309</v>
      </c>
      <c r="E49" s="578">
        <v>58.664166008592787</v>
      </c>
      <c r="F49" s="578">
        <v>58.68595842604838</v>
      </c>
      <c r="G49" s="203"/>
      <c r="H49" s="203"/>
      <c r="I49" s="203"/>
      <c r="J49" s="203"/>
    </row>
    <row r="50" spans="1:10" ht="14">
      <c r="A50" s="239"/>
      <c r="B50" s="273" t="s">
        <v>106</v>
      </c>
      <c r="C50" s="580">
        <v>48.217527018583432</v>
      </c>
      <c r="D50" s="580">
        <v>47.001735879067162</v>
      </c>
      <c r="E50" s="580">
        <v>50.922075482877567</v>
      </c>
      <c r="F50" s="580">
        <v>59.712607937199593</v>
      </c>
      <c r="G50" s="203"/>
      <c r="H50" s="203"/>
      <c r="I50" s="203"/>
      <c r="J50" s="203"/>
    </row>
    <row r="51" spans="1:10" ht="14">
      <c r="A51" s="239"/>
      <c r="B51" s="273" t="s">
        <v>107</v>
      </c>
      <c r="C51" s="580">
        <v>59.414031845046843</v>
      </c>
      <c r="D51" s="580">
        <v>49.086054938158668</v>
      </c>
      <c r="E51" s="580">
        <v>50.194169127383333</v>
      </c>
      <c r="F51" s="580">
        <v>51.76924029758672</v>
      </c>
      <c r="G51" s="203"/>
      <c r="H51" s="203"/>
      <c r="I51" s="203"/>
      <c r="J51" s="203"/>
    </row>
    <row r="52" spans="1:10" ht="14">
      <c r="A52" s="239"/>
      <c r="B52" s="273" t="s">
        <v>108</v>
      </c>
      <c r="C52" s="598">
        <v>55.160692821671503</v>
      </c>
      <c r="D52" s="598">
        <v>52.299791199136237</v>
      </c>
      <c r="E52" s="598">
        <v>60.560178768834092</v>
      </c>
      <c r="F52" s="598">
        <v>40.586277770378381</v>
      </c>
      <c r="G52" s="203"/>
      <c r="H52" s="203"/>
      <c r="I52" s="203"/>
      <c r="J52" s="203"/>
    </row>
    <row r="53" spans="1:10" ht="14">
      <c r="A53" s="239"/>
      <c r="B53" s="273" t="s">
        <v>109</v>
      </c>
      <c r="C53" s="580">
        <v>47.155222988539293</v>
      </c>
      <c r="D53" s="580">
        <v>58.938621912158752</v>
      </c>
      <c r="E53" s="580">
        <v>50.414979524931468</v>
      </c>
      <c r="F53" s="580">
        <v>42.096281158210402</v>
      </c>
      <c r="G53" s="203"/>
      <c r="H53" s="203"/>
      <c r="I53" s="203"/>
      <c r="J53" s="203"/>
    </row>
    <row r="54" spans="1:10" ht="14">
      <c r="A54" s="239"/>
      <c r="B54" s="273" t="s">
        <v>110</v>
      </c>
      <c r="C54" s="580">
        <v>35.299765784286443</v>
      </c>
      <c r="D54" s="580">
        <v>61.528689641312091</v>
      </c>
      <c r="E54" s="580">
        <v>49.094618844475001</v>
      </c>
      <c r="F54" s="580">
        <v>41.986578317138118</v>
      </c>
      <c r="G54" s="203"/>
      <c r="H54" s="203"/>
      <c r="I54" s="203"/>
      <c r="J54" s="203"/>
    </row>
    <row r="55" spans="1:10" ht="14">
      <c r="A55" s="239"/>
      <c r="B55" s="273" t="s">
        <v>117</v>
      </c>
      <c r="C55" s="580">
        <v>49.298110456125087</v>
      </c>
      <c r="D55" s="580">
        <v>49.852389391113007</v>
      </c>
      <c r="E55" s="580">
        <v>50.37620568566161</v>
      </c>
      <c r="F55" s="580">
        <v>50.373337906843261</v>
      </c>
      <c r="G55" s="203"/>
      <c r="H55" s="203"/>
      <c r="I55" s="203"/>
      <c r="J55" s="203"/>
    </row>
    <row r="56" spans="1:10" ht="14">
      <c r="A56" s="239"/>
      <c r="B56" s="273" t="s">
        <v>112</v>
      </c>
      <c r="C56" s="580">
        <v>66.025745228737392</v>
      </c>
      <c r="D56" s="580">
        <v>50.944649516836847</v>
      </c>
      <c r="E56" s="580">
        <v>49.124055321537703</v>
      </c>
      <c r="F56" s="580">
        <v>60.794015401799072</v>
      </c>
      <c r="G56" s="203"/>
      <c r="H56" s="203"/>
      <c r="I56" s="203"/>
      <c r="J56" s="203"/>
    </row>
    <row r="57" spans="1:10" ht="14">
      <c r="A57" s="239"/>
      <c r="B57" s="273" t="s">
        <v>113</v>
      </c>
      <c r="C57" s="580">
        <v>43.45447707514748</v>
      </c>
      <c r="D57" s="580">
        <v>51.284588922690027</v>
      </c>
      <c r="E57" s="580">
        <v>49.201047915030053</v>
      </c>
      <c r="F57" s="580">
        <v>56.57935966456202</v>
      </c>
      <c r="G57" s="203"/>
      <c r="H57" s="203"/>
      <c r="I57" s="203"/>
      <c r="J57" s="203"/>
    </row>
    <row r="58" spans="1:10" ht="14">
      <c r="A58" s="239"/>
      <c r="B58" s="273" t="s">
        <v>114</v>
      </c>
      <c r="C58" s="580">
        <v>47.233026925949282</v>
      </c>
      <c r="D58" s="580">
        <v>25.223664908554721</v>
      </c>
      <c r="E58" s="580">
        <v>51.506834320171443</v>
      </c>
      <c r="F58" s="580">
        <v>61.18930739783378</v>
      </c>
      <c r="G58" s="203"/>
      <c r="H58" s="203"/>
      <c r="I58" s="203"/>
      <c r="J58" s="203"/>
    </row>
    <row r="59" spans="1:10" ht="14">
      <c r="A59" s="239"/>
      <c r="B59" s="273" t="s">
        <v>115</v>
      </c>
      <c r="C59" s="580">
        <v>60.83909259420092</v>
      </c>
      <c r="D59" s="580">
        <v>46.326420119089001</v>
      </c>
      <c r="E59" s="580">
        <v>49.992278032704732</v>
      </c>
      <c r="F59" s="580">
        <v>43.232062450719567</v>
      </c>
      <c r="G59" s="203"/>
      <c r="H59" s="203"/>
      <c r="I59" s="203"/>
      <c r="J59" s="203"/>
    </row>
    <row r="60" spans="1:10" ht="14">
      <c r="A60" s="240"/>
      <c r="B60" s="274" t="s">
        <v>116</v>
      </c>
      <c r="C60" s="582">
        <v>51.985831303201167</v>
      </c>
      <c r="D60" s="582">
        <v>50.166762854030331</v>
      </c>
      <c r="E60" s="582">
        <v>48.243933958342552</v>
      </c>
      <c r="F60" s="582">
        <v>49.25569968511121</v>
      </c>
      <c r="G60" s="203"/>
      <c r="H60" s="203"/>
      <c r="I60" s="203"/>
      <c r="J60" s="203"/>
    </row>
    <row r="61" spans="1:10" ht="14">
      <c r="A61" s="238">
        <v>2025</v>
      </c>
      <c r="B61" s="272" t="s">
        <v>105</v>
      </c>
      <c r="C61" s="578">
        <v>51.724212092375573</v>
      </c>
      <c r="D61" s="578">
        <v>49.746688218105312</v>
      </c>
      <c r="E61" s="578">
        <v>52.838420068345322</v>
      </c>
      <c r="F61" s="578">
        <v>69.2999527403001</v>
      </c>
      <c r="G61" s="203"/>
      <c r="H61" s="203"/>
      <c r="I61" s="203"/>
      <c r="J61" s="203"/>
    </row>
    <row r="62" spans="1:10" ht="14">
      <c r="A62" s="239"/>
      <c r="B62" s="273" t="s">
        <v>106</v>
      </c>
      <c r="C62" s="580">
        <v>41.252610179406247</v>
      </c>
      <c r="D62" s="580">
        <v>39.871485542217783</v>
      </c>
      <c r="E62" s="580">
        <v>49.516839164640743</v>
      </c>
      <c r="F62" s="580">
        <v>47.998885733816373</v>
      </c>
      <c r="G62" s="203"/>
      <c r="H62" s="203"/>
      <c r="I62" s="203"/>
      <c r="J62" s="203"/>
    </row>
    <row r="63" spans="1:10" ht="14">
      <c r="A63" s="239"/>
      <c r="B63" s="273" t="s">
        <v>107</v>
      </c>
      <c r="C63" s="580">
        <v>70.439974719119292</v>
      </c>
      <c r="D63" s="580">
        <v>47.574433026218912</v>
      </c>
      <c r="E63" s="580">
        <v>62.836262408562867</v>
      </c>
      <c r="F63" s="580">
        <v>44.427433633963851</v>
      </c>
      <c r="G63" s="203"/>
      <c r="H63" s="203"/>
      <c r="I63" s="203"/>
      <c r="J63" s="203"/>
    </row>
    <row r="64" spans="1:10" ht="14">
      <c r="A64" s="239"/>
      <c r="B64" s="273" t="s">
        <v>108</v>
      </c>
      <c r="C64" s="580">
        <v>41.210052585185991</v>
      </c>
      <c r="D64" s="580">
        <v>39.339104250004127</v>
      </c>
      <c r="E64" s="580">
        <v>35.47038335434177</v>
      </c>
      <c r="F64" s="580">
        <v>44.10162892946714</v>
      </c>
      <c r="G64" s="203"/>
      <c r="H64" s="203"/>
      <c r="I64" s="203"/>
      <c r="J64" s="203"/>
    </row>
    <row r="65" spans="1:10" ht="14">
      <c r="A65" s="239"/>
      <c r="B65" s="273" t="s">
        <v>109</v>
      </c>
      <c r="C65" s="580">
        <v>39.71321059496514</v>
      </c>
      <c r="D65" s="580">
        <v>40.737452258083707</v>
      </c>
      <c r="E65" s="580">
        <v>46.813352718272242</v>
      </c>
      <c r="F65" s="580">
        <v>36.463454341288397</v>
      </c>
      <c r="G65" s="203"/>
      <c r="H65" s="203"/>
      <c r="I65" s="203"/>
      <c r="J65" s="203"/>
    </row>
    <row r="66" spans="1:10" ht="14">
      <c r="A66" s="239"/>
      <c r="B66" s="273" t="s">
        <v>110</v>
      </c>
      <c r="C66" s="594">
        <v>57.937579294979408</v>
      </c>
      <c r="D66" s="594">
        <v>74.11464661121974</v>
      </c>
      <c r="E66" s="594">
        <v>55.999589056189457</v>
      </c>
      <c r="F66" s="594">
        <v>51.619935186264392</v>
      </c>
      <c r="G66" s="203"/>
      <c r="H66" s="203"/>
      <c r="I66" s="203"/>
      <c r="J66" s="203"/>
    </row>
    <row r="67" spans="1:10" ht="14">
      <c r="A67" s="239"/>
      <c r="B67" s="273" t="s">
        <v>117</v>
      </c>
      <c r="C67" s="594">
        <v>44.541464207883983</v>
      </c>
      <c r="D67" s="594">
        <v>49.116584002840561</v>
      </c>
      <c r="E67" s="594">
        <v>69.254468068542522</v>
      </c>
      <c r="F67" s="594">
        <v>65.729961049615483</v>
      </c>
      <c r="G67" s="203"/>
      <c r="H67" s="203"/>
      <c r="I67" s="203"/>
      <c r="J67" s="203"/>
    </row>
    <row r="68" spans="1:10" ht="14">
      <c r="A68" s="239"/>
      <c r="B68" s="273" t="s">
        <v>112</v>
      </c>
      <c r="C68" s="594">
        <v>52.289513741382137</v>
      </c>
      <c r="D68" s="594">
        <v>27.267916473270009</v>
      </c>
      <c r="E68" s="594">
        <v>35.65506514171409</v>
      </c>
      <c r="F68" s="594">
        <v>50.785853282384998</v>
      </c>
      <c r="G68" s="203"/>
      <c r="H68" s="203"/>
      <c r="I68" s="203"/>
      <c r="J68" s="203"/>
    </row>
    <row r="69" spans="1:10" ht="14">
      <c r="A69" s="239"/>
      <c r="B69" s="273" t="s">
        <v>113</v>
      </c>
      <c r="C69" s="594">
        <v>48.704905604331032</v>
      </c>
      <c r="D69" s="594">
        <v>50.626309991572811</v>
      </c>
      <c r="E69" s="594">
        <v>53.782326605455019</v>
      </c>
      <c r="F69" s="594">
        <v>44.190852203577109</v>
      </c>
      <c r="G69" s="203"/>
      <c r="H69" s="203"/>
      <c r="I69" s="203"/>
      <c r="J69" s="203"/>
    </row>
    <row r="70" spans="1:10" ht="14">
      <c r="A70" s="239"/>
      <c r="B70" s="273" t="s">
        <v>114</v>
      </c>
      <c r="C70" s="594">
        <v>43.744487800870367</v>
      </c>
      <c r="D70" s="594">
        <v>51.070060656340289</v>
      </c>
      <c r="E70" s="594">
        <v>47.167265743494973</v>
      </c>
      <c r="F70" s="594">
        <v>67.652379466661145</v>
      </c>
      <c r="G70" s="203"/>
      <c r="H70" s="203"/>
      <c r="I70" s="203"/>
      <c r="J70" s="203"/>
    </row>
    <row r="71" spans="1:10" ht="14">
      <c r="A71" s="239"/>
      <c r="B71" s="273" t="s">
        <v>115</v>
      </c>
      <c r="C71" s="594">
        <v>52.382095409622814</v>
      </c>
      <c r="D71" s="594">
        <v>49.705257767087382</v>
      </c>
      <c r="E71" s="594">
        <v>54.161400384111573</v>
      </c>
      <c r="F71" s="594">
        <v>49.037306351916087</v>
      </c>
      <c r="G71" s="203"/>
      <c r="H71" s="203"/>
      <c r="I71" s="203"/>
      <c r="J71" s="203"/>
    </row>
    <row r="72" spans="1:10" ht="14">
      <c r="A72" s="240"/>
      <c r="B72" s="274" t="s">
        <v>116</v>
      </c>
      <c r="C72" s="595">
        <v>63.014351791774011</v>
      </c>
      <c r="D72" s="595">
        <v>49.246729592086588</v>
      </c>
      <c r="E72" s="595">
        <v>44.064407276554668</v>
      </c>
      <c r="F72" s="595">
        <v>64.469868623193932</v>
      </c>
      <c r="G72" s="203"/>
      <c r="H72" s="203"/>
      <c r="I72" s="203"/>
      <c r="J72" s="203"/>
    </row>
    <row r="73" spans="1:10" ht="14">
      <c r="A73" s="238">
        <v>2026</v>
      </c>
      <c r="B73" s="272" t="s">
        <v>105</v>
      </c>
      <c r="C73" s="686">
        <v>44.056278471895908</v>
      </c>
      <c r="D73" s="686">
        <v>66.27791709307094</v>
      </c>
      <c r="E73" s="686">
        <v>23.11625917556486</v>
      </c>
      <c r="F73" s="686">
        <v>55.121155989480258</v>
      </c>
      <c r="G73" s="203"/>
      <c r="H73" s="203"/>
      <c r="I73" s="203"/>
      <c r="J73" s="203"/>
    </row>
    <row r="74" spans="1:10" ht="14">
      <c r="A74" s="239"/>
      <c r="B74" s="273" t="s">
        <v>106</v>
      </c>
      <c r="C74" s="708">
        <v>54.25958476295682</v>
      </c>
      <c r="D74" s="708">
        <v>32.112010582718199</v>
      </c>
      <c r="E74" s="708">
        <v>54.057775378798112</v>
      </c>
      <c r="F74" s="708">
        <v>42.144186300797323</v>
      </c>
      <c r="G74" s="203"/>
      <c r="H74" s="203"/>
      <c r="I74" s="203"/>
      <c r="J74" s="203"/>
    </row>
    <row r="75" spans="1:10" ht="14">
      <c r="A75" s="240"/>
      <c r="B75" s="274" t="s">
        <v>107</v>
      </c>
      <c r="C75" s="595">
        <v>62.995254060359017</v>
      </c>
      <c r="D75" s="595">
        <v>67.448066298343093</v>
      </c>
      <c r="E75" s="595">
        <v>60.065117542562923</v>
      </c>
      <c r="F75" s="595">
        <v>76.640464045624171</v>
      </c>
      <c r="G75" s="203"/>
      <c r="H75" s="203"/>
      <c r="I75" s="203"/>
      <c r="J75" s="203"/>
    </row>
    <row r="76" spans="1:10">
      <c r="A76" s="91"/>
      <c r="B76" s="91"/>
      <c r="C76" s="91"/>
      <c r="D76" s="91"/>
      <c r="E76" s="91"/>
      <c r="F76" s="91"/>
      <c r="G76" s="203"/>
      <c r="H76" s="203"/>
      <c r="I76" s="203"/>
      <c r="J76" s="203"/>
    </row>
    <row r="77" spans="1:10" ht="14">
      <c r="A77" s="823" t="s">
        <v>363</v>
      </c>
      <c r="B77" s="823"/>
      <c r="C77" s="823"/>
      <c r="D77" s="823"/>
      <c r="E77" s="823"/>
      <c r="F77" s="823"/>
      <c r="G77" s="203"/>
      <c r="H77" s="203"/>
      <c r="I77" s="203"/>
      <c r="J77" s="203"/>
    </row>
    <row r="78" spans="1:10" ht="14">
      <c r="A78" s="717" t="s">
        <v>98</v>
      </c>
      <c r="B78" s="718"/>
      <c r="C78" s="824" t="s">
        <v>358</v>
      </c>
      <c r="D78" s="825"/>
      <c r="E78" s="825"/>
      <c r="F78" s="826"/>
      <c r="G78" s="203"/>
      <c r="H78" s="203"/>
      <c r="I78" s="203"/>
      <c r="J78" s="203"/>
    </row>
    <row r="79" spans="1:10" ht="45" customHeight="1">
      <c r="A79" s="751"/>
      <c r="B79" s="752"/>
      <c r="C79" s="277" t="s">
        <v>359</v>
      </c>
      <c r="D79" s="277" t="s">
        <v>360</v>
      </c>
      <c r="E79" s="277" t="s">
        <v>361</v>
      </c>
      <c r="F79" s="376" t="s">
        <v>362</v>
      </c>
      <c r="G79" s="203"/>
      <c r="H79" s="203"/>
      <c r="I79" s="203"/>
      <c r="J79" s="203"/>
    </row>
    <row r="80" spans="1:10" ht="14">
      <c r="A80" s="238">
        <v>2020</v>
      </c>
      <c r="B80" s="247" t="s">
        <v>112</v>
      </c>
      <c r="C80" s="578">
        <v>51.22652111075972</v>
      </c>
      <c r="D80" s="578">
        <v>82.650519534335245</v>
      </c>
      <c r="E80" s="578">
        <v>56.85060848591894</v>
      </c>
      <c r="F80" s="579">
        <v>54.815649322622818</v>
      </c>
      <c r="G80" s="203"/>
      <c r="H80" s="203"/>
      <c r="I80" s="203"/>
      <c r="J80" s="203"/>
    </row>
    <row r="81" spans="1:10" ht="14">
      <c r="A81" s="239"/>
      <c r="B81" s="273" t="s">
        <v>113</v>
      </c>
      <c r="C81" s="580">
        <v>63.263229944627007</v>
      </c>
      <c r="D81" s="580">
        <v>53.518655231336453</v>
      </c>
      <c r="E81" s="580">
        <v>49.071735869554423</v>
      </c>
      <c r="F81" s="581">
        <v>45.281197205878627</v>
      </c>
      <c r="G81" s="203"/>
      <c r="H81" s="203"/>
      <c r="I81" s="203"/>
      <c r="J81" s="203"/>
    </row>
    <row r="82" spans="1:10" ht="14">
      <c r="A82" s="239"/>
      <c r="B82" s="273" t="s">
        <v>114</v>
      </c>
      <c r="C82" s="580">
        <v>65.560504433243125</v>
      </c>
      <c r="D82" s="580">
        <v>51.495327759942583</v>
      </c>
      <c r="E82" s="580">
        <v>51.445769565688863</v>
      </c>
      <c r="F82" s="581">
        <v>70.079132197379096</v>
      </c>
      <c r="G82" s="203"/>
      <c r="H82" s="203"/>
      <c r="I82" s="203"/>
      <c r="J82" s="203"/>
    </row>
    <row r="83" spans="1:10" ht="14">
      <c r="A83" s="239"/>
      <c r="B83" s="273" t="s">
        <v>115</v>
      </c>
      <c r="C83" s="580">
        <v>74.00390845551442</v>
      </c>
      <c r="D83" s="580">
        <v>55.441332900745543</v>
      </c>
      <c r="E83" s="580">
        <v>49.554959159706392</v>
      </c>
      <c r="F83" s="581">
        <v>73.556807057660237</v>
      </c>
      <c r="G83" s="203"/>
      <c r="H83" s="203"/>
      <c r="I83" s="203"/>
      <c r="J83" s="203"/>
    </row>
    <row r="84" spans="1:10" ht="14">
      <c r="A84" s="239"/>
      <c r="B84" s="274" t="s">
        <v>116</v>
      </c>
      <c r="C84" s="582">
        <v>56.172136614318049</v>
      </c>
      <c r="D84" s="582">
        <v>51.944428776607019</v>
      </c>
      <c r="E84" s="582">
        <v>52.486686796288261</v>
      </c>
      <c r="F84" s="583">
        <v>76.838938010374747</v>
      </c>
      <c r="G84" s="203"/>
      <c r="H84" s="203"/>
      <c r="I84" s="203"/>
      <c r="J84" s="203"/>
    </row>
    <row r="85" spans="1:10" ht="14">
      <c r="A85" s="597">
        <v>2021</v>
      </c>
      <c r="B85" s="272" t="s">
        <v>105</v>
      </c>
      <c r="C85" s="578">
        <v>49.198428352784127</v>
      </c>
      <c r="D85" s="578">
        <v>48.910792876433987</v>
      </c>
      <c r="E85" s="578">
        <v>53.783839202588418</v>
      </c>
      <c r="F85" s="579">
        <v>72.996524480701694</v>
      </c>
      <c r="G85" s="203"/>
      <c r="H85" s="203"/>
      <c r="I85" s="203"/>
      <c r="J85" s="203"/>
    </row>
    <row r="86" spans="1:10" ht="14">
      <c r="A86" s="284"/>
      <c r="B86" s="273" t="s">
        <v>106</v>
      </c>
      <c r="C86" s="580">
        <v>46.503533653180881</v>
      </c>
      <c r="D86" s="580">
        <v>52.543435744680387</v>
      </c>
      <c r="E86" s="580">
        <v>51.779938575753143</v>
      </c>
      <c r="F86" s="581">
        <v>84.554776320097901</v>
      </c>
      <c r="G86" s="203"/>
      <c r="H86" s="203"/>
      <c r="I86" s="203"/>
      <c r="J86" s="203"/>
    </row>
    <row r="87" spans="1:10" ht="14">
      <c r="A87" s="284"/>
      <c r="B87" s="273" t="s">
        <v>107</v>
      </c>
      <c r="C87" s="580">
        <v>45.713879188407532</v>
      </c>
      <c r="D87" s="580">
        <v>84.995482429666652</v>
      </c>
      <c r="E87" s="580">
        <v>65.916265009733522</v>
      </c>
      <c r="F87" s="581">
        <v>77.207332235322866</v>
      </c>
      <c r="G87" s="203"/>
      <c r="H87" s="203"/>
      <c r="I87" s="203"/>
      <c r="J87" s="203"/>
    </row>
    <row r="88" spans="1:10" ht="14">
      <c r="A88" s="284"/>
      <c r="B88" s="273" t="s">
        <v>108</v>
      </c>
      <c r="C88" s="580">
        <v>53.48864582126641</v>
      </c>
      <c r="D88" s="580">
        <v>63.364950811274078</v>
      </c>
      <c r="E88" s="580">
        <v>67.624744545609587</v>
      </c>
      <c r="F88" s="581">
        <v>66.172060306209673</v>
      </c>
      <c r="G88" s="203"/>
      <c r="H88" s="203"/>
      <c r="I88" s="203"/>
      <c r="J88" s="203"/>
    </row>
    <row r="89" spans="1:10" ht="14">
      <c r="A89" s="284"/>
      <c r="B89" s="273" t="s">
        <v>109</v>
      </c>
      <c r="C89" s="580">
        <v>47.747546363431127</v>
      </c>
      <c r="D89" s="580">
        <v>50.465203329099097</v>
      </c>
      <c r="E89" s="580">
        <v>58.358646719588982</v>
      </c>
      <c r="F89" s="581">
        <v>78.240874921175617</v>
      </c>
      <c r="G89" s="203"/>
      <c r="H89" s="203"/>
      <c r="I89" s="203"/>
      <c r="J89" s="203"/>
    </row>
    <row r="90" spans="1:10" ht="14">
      <c r="A90" s="284"/>
      <c r="B90" s="273" t="s">
        <v>110</v>
      </c>
      <c r="C90" s="580">
        <v>52.103487115113673</v>
      </c>
      <c r="D90" s="580">
        <v>51.19998305150083</v>
      </c>
      <c r="E90" s="580">
        <v>53.079667752595242</v>
      </c>
      <c r="F90" s="581">
        <v>49.672089829180621</v>
      </c>
      <c r="G90" s="203"/>
      <c r="H90" s="203"/>
      <c r="I90" s="203"/>
      <c r="J90" s="203"/>
    </row>
    <row r="91" spans="1:10" ht="14">
      <c r="A91" s="284"/>
      <c r="B91" s="273" t="s">
        <v>117</v>
      </c>
      <c r="C91" s="580">
        <v>50.599778948256812</v>
      </c>
      <c r="D91" s="580">
        <v>63.030741222817447</v>
      </c>
      <c r="E91" s="580">
        <v>61.20539903614776</v>
      </c>
      <c r="F91" s="581">
        <v>48.461426234735427</v>
      </c>
      <c r="G91" s="203"/>
      <c r="H91" s="203"/>
      <c r="I91" s="203"/>
      <c r="J91" s="203"/>
    </row>
    <row r="92" spans="1:10" ht="14">
      <c r="A92" s="284"/>
      <c r="B92" s="273" t="s">
        <v>112</v>
      </c>
      <c r="C92" s="580">
        <v>13.659104048271869</v>
      </c>
      <c r="D92" s="580">
        <v>35.922456651119937</v>
      </c>
      <c r="E92" s="580">
        <v>44.561036643457477</v>
      </c>
      <c r="F92" s="581">
        <v>35.868988481168692</v>
      </c>
      <c r="G92" s="203"/>
      <c r="H92" s="203"/>
      <c r="I92" s="203"/>
      <c r="J92" s="203"/>
    </row>
    <row r="93" spans="1:10" ht="14">
      <c r="A93" s="284"/>
      <c r="B93" s="273" t="s">
        <v>113</v>
      </c>
      <c r="C93" s="580">
        <v>9.4194201436741629</v>
      </c>
      <c r="D93" s="580">
        <v>31.6849304823293</v>
      </c>
      <c r="E93" s="580">
        <v>45.972585766614237</v>
      </c>
      <c r="F93" s="581">
        <v>56.676601674214218</v>
      </c>
      <c r="G93" s="203"/>
      <c r="H93" s="203"/>
      <c r="I93" s="203"/>
      <c r="J93" s="203"/>
    </row>
    <row r="94" spans="1:10" ht="14">
      <c r="A94" s="284"/>
      <c r="B94" s="273" t="s">
        <v>114</v>
      </c>
      <c r="C94" s="580">
        <v>46.219118642126432</v>
      </c>
      <c r="D94" s="580">
        <v>46.317213521657052</v>
      </c>
      <c r="E94" s="580">
        <v>53.129784458336943</v>
      </c>
      <c r="F94" s="581">
        <v>25.058649391435829</v>
      </c>
      <c r="G94" s="203"/>
      <c r="H94" s="203"/>
      <c r="I94" s="203"/>
      <c r="J94" s="203"/>
    </row>
    <row r="95" spans="1:10" ht="14">
      <c r="A95" s="239"/>
      <c r="B95" s="273" t="s">
        <v>115</v>
      </c>
      <c r="C95" s="580">
        <v>15.51978448269395</v>
      </c>
      <c r="D95" s="580">
        <v>51.238215218821558</v>
      </c>
      <c r="E95" s="580">
        <v>54.245736306585371</v>
      </c>
      <c r="F95" s="581">
        <v>82.2787376296166</v>
      </c>
      <c r="G95" s="203"/>
      <c r="H95" s="203"/>
      <c r="I95" s="203"/>
      <c r="J95" s="203"/>
    </row>
    <row r="96" spans="1:10" ht="14">
      <c r="A96" s="285"/>
      <c r="B96" s="274" t="s">
        <v>116</v>
      </c>
      <c r="C96" s="582">
        <v>45.763261360348032</v>
      </c>
      <c r="D96" s="582">
        <v>56.051214072027513</v>
      </c>
      <c r="E96" s="582">
        <v>60.219970093648087</v>
      </c>
      <c r="F96" s="583">
        <v>69.59691420608381</v>
      </c>
      <c r="G96" s="203"/>
      <c r="H96" s="203"/>
      <c r="I96" s="203"/>
      <c r="J96" s="203"/>
    </row>
    <row r="97" spans="1:10" ht="14">
      <c r="A97" s="238">
        <v>2022</v>
      </c>
      <c r="B97" s="272" t="s">
        <v>105</v>
      </c>
      <c r="C97" s="578">
        <v>49.730476323887608</v>
      </c>
      <c r="D97" s="578">
        <v>42.426312743383143</v>
      </c>
      <c r="E97" s="578">
        <v>52.381661231410021</v>
      </c>
      <c r="F97" s="578">
        <v>70.976749866680834</v>
      </c>
      <c r="G97" s="203"/>
      <c r="H97" s="203"/>
      <c r="I97" s="203"/>
      <c r="J97" s="203"/>
    </row>
    <row r="98" spans="1:10" ht="14">
      <c r="A98" s="239"/>
      <c r="B98" s="273" t="s">
        <v>106</v>
      </c>
      <c r="C98" s="580">
        <v>15.30962031441805</v>
      </c>
      <c r="D98" s="580">
        <v>54.040197757440737</v>
      </c>
      <c r="E98" s="580">
        <v>53.026077166150401</v>
      </c>
      <c r="F98" s="580">
        <v>64.903992033816934</v>
      </c>
      <c r="G98" s="203"/>
      <c r="H98" s="203"/>
      <c r="I98" s="203"/>
      <c r="J98" s="203"/>
    </row>
    <row r="99" spans="1:10" ht="14">
      <c r="A99" s="239"/>
      <c r="B99" s="273" t="s">
        <v>107</v>
      </c>
      <c r="C99" s="580">
        <v>50.810821896481187</v>
      </c>
      <c r="D99" s="580">
        <v>50.942716177665332</v>
      </c>
      <c r="E99" s="580">
        <v>54.335019897059489</v>
      </c>
      <c r="F99" s="580">
        <v>81.688255273855631</v>
      </c>
      <c r="G99" s="203"/>
      <c r="H99" s="203"/>
      <c r="I99" s="203"/>
      <c r="J99" s="203"/>
    </row>
    <row r="100" spans="1:10" ht="14">
      <c r="A100" s="239"/>
      <c r="B100" s="273" t="s">
        <v>108</v>
      </c>
      <c r="C100" s="580">
        <v>66.752079986182522</v>
      </c>
      <c r="D100" s="580">
        <v>53.865470347688962</v>
      </c>
      <c r="E100" s="580">
        <v>55.690633758067229</v>
      </c>
      <c r="F100" s="580">
        <v>73.980259806661039</v>
      </c>
      <c r="G100" s="203"/>
      <c r="H100" s="203"/>
      <c r="I100" s="203"/>
      <c r="J100" s="203"/>
    </row>
    <row r="101" spans="1:10" ht="14">
      <c r="A101" s="239"/>
      <c r="B101" s="273" t="s">
        <v>109</v>
      </c>
      <c r="C101" s="580">
        <v>54.497339432660503</v>
      </c>
      <c r="D101" s="580">
        <v>51.880937506764752</v>
      </c>
      <c r="E101" s="580">
        <v>54.151308055095583</v>
      </c>
      <c r="F101" s="580">
        <v>72.248823524716414</v>
      </c>
      <c r="G101" s="203"/>
      <c r="H101" s="203"/>
      <c r="I101" s="203"/>
      <c r="J101" s="203"/>
    </row>
    <row r="102" spans="1:10" ht="14">
      <c r="A102" s="239"/>
      <c r="B102" s="273" t="s">
        <v>110</v>
      </c>
      <c r="C102" s="580">
        <v>51.923643729609047</v>
      </c>
      <c r="D102" s="580">
        <v>52.698913015506768</v>
      </c>
      <c r="E102" s="580">
        <v>53.793206856688627</v>
      </c>
      <c r="F102" s="580">
        <v>54.757560321953079</v>
      </c>
      <c r="G102" s="203"/>
      <c r="H102" s="203"/>
      <c r="I102" s="203"/>
      <c r="J102" s="203"/>
    </row>
    <row r="103" spans="1:10" ht="14">
      <c r="A103" s="239"/>
      <c r="B103" s="273" t="s">
        <v>117</v>
      </c>
      <c r="C103" s="580">
        <v>41.42111827704619</v>
      </c>
      <c r="D103" s="580">
        <v>58.496348273030613</v>
      </c>
      <c r="E103" s="580">
        <v>17.390745349478099</v>
      </c>
      <c r="F103" s="580">
        <v>69.09881228980943</v>
      </c>
      <c r="G103" s="203"/>
      <c r="H103" s="203"/>
      <c r="I103" s="203"/>
      <c r="J103" s="203"/>
    </row>
    <row r="104" spans="1:10" ht="14">
      <c r="A104" s="239"/>
      <c r="B104" s="273" t="s">
        <v>112</v>
      </c>
      <c r="C104" s="580">
        <v>51.184867525217641</v>
      </c>
      <c r="D104" s="580">
        <v>52.513052464734173</v>
      </c>
      <c r="E104" s="580">
        <v>85.335116403011142</v>
      </c>
      <c r="F104" s="580">
        <v>78.060930965346827</v>
      </c>
      <c r="G104" s="203"/>
      <c r="H104" s="203"/>
      <c r="I104" s="203"/>
      <c r="J104" s="203"/>
    </row>
    <row r="105" spans="1:10" ht="14">
      <c r="A105" s="239"/>
      <c r="B105" s="273" t="s">
        <v>113</v>
      </c>
      <c r="C105" s="580">
        <v>51.441969888653787</v>
      </c>
      <c r="D105" s="580">
        <v>36.278132628649892</v>
      </c>
      <c r="E105" s="580">
        <v>53.460307183370787</v>
      </c>
      <c r="F105" s="580">
        <v>77.767253850090384</v>
      </c>
      <c r="G105" s="203"/>
      <c r="H105" s="203"/>
      <c r="I105" s="203"/>
      <c r="J105" s="203"/>
    </row>
    <row r="106" spans="1:10" ht="14">
      <c r="A106" s="239"/>
      <c r="B106" s="273" t="s">
        <v>114</v>
      </c>
      <c r="C106" s="580">
        <v>54.219057171606728</v>
      </c>
      <c r="D106" s="580">
        <v>52.263491867085627</v>
      </c>
      <c r="E106" s="580">
        <v>58.031031794219267</v>
      </c>
      <c r="F106" s="580">
        <v>70.831254404785</v>
      </c>
      <c r="G106" s="203"/>
      <c r="H106" s="203"/>
      <c r="I106" s="203"/>
      <c r="J106" s="203"/>
    </row>
    <row r="107" spans="1:10" ht="14">
      <c r="A107" s="239"/>
      <c r="B107" s="273" t="s">
        <v>115</v>
      </c>
      <c r="C107" s="580">
        <v>56.532716196793672</v>
      </c>
      <c r="D107" s="580">
        <v>34.59425100823524</v>
      </c>
      <c r="E107" s="580">
        <v>38.977157334959529</v>
      </c>
      <c r="F107" s="580">
        <v>61.580631271818163</v>
      </c>
      <c r="G107" s="203"/>
      <c r="H107" s="203"/>
      <c r="I107" s="203"/>
      <c r="J107" s="203"/>
    </row>
    <row r="108" spans="1:10" ht="14">
      <c r="A108" s="240"/>
      <c r="B108" s="274" t="s">
        <v>116</v>
      </c>
      <c r="C108" s="582">
        <v>52.657693233390503</v>
      </c>
      <c r="D108" s="582">
        <v>56.102589616034173</v>
      </c>
      <c r="E108" s="582">
        <v>58.015190093607622</v>
      </c>
      <c r="F108" s="582">
        <v>55.587263698260792</v>
      </c>
      <c r="G108" s="203"/>
      <c r="H108" s="203"/>
      <c r="I108" s="203"/>
      <c r="J108" s="203"/>
    </row>
    <row r="109" spans="1:10" ht="14">
      <c r="A109" s="238">
        <v>2023</v>
      </c>
      <c r="B109" s="272" t="s">
        <v>105</v>
      </c>
      <c r="C109" s="578">
        <v>62.605548204237451</v>
      </c>
      <c r="D109" s="578">
        <v>62.197341303475461</v>
      </c>
      <c r="E109" s="578">
        <v>53.804562586928199</v>
      </c>
      <c r="F109" s="578">
        <v>77.068917399979895</v>
      </c>
      <c r="G109" s="203"/>
      <c r="H109" s="203"/>
      <c r="I109" s="203"/>
      <c r="J109" s="203"/>
    </row>
    <row r="110" spans="1:10" ht="14">
      <c r="A110" s="239"/>
      <c r="B110" s="273" t="s">
        <v>106</v>
      </c>
      <c r="C110" s="580">
        <v>69.760224564166606</v>
      </c>
      <c r="D110" s="580">
        <v>73.790395933366383</v>
      </c>
      <c r="E110" s="580">
        <v>66.903330818585417</v>
      </c>
      <c r="F110" s="580">
        <v>35.492120584439462</v>
      </c>
      <c r="G110" s="203"/>
      <c r="H110" s="203"/>
      <c r="I110" s="203"/>
      <c r="J110" s="203"/>
    </row>
    <row r="111" spans="1:10" ht="14">
      <c r="A111" s="239"/>
      <c r="B111" s="273" t="s">
        <v>107</v>
      </c>
      <c r="C111" s="580">
        <v>59.513874241693308</v>
      </c>
      <c r="D111" s="580">
        <v>50.963732076368018</v>
      </c>
      <c r="E111" s="580">
        <v>54.908580338675002</v>
      </c>
      <c r="F111" s="580">
        <v>41.040200753376539</v>
      </c>
      <c r="G111" s="203"/>
      <c r="H111" s="203"/>
      <c r="I111" s="203"/>
      <c r="J111" s="203"/>
    </row>
    <row r="112" spans="1:10" ht="14">
      <c r="A112" s="239"/>
      <c r="B112" s="273" t="s">
        <v>108</v>
      </c>
      <c r="C112" s="580">
        <v>78.940077506971733</v>
      </c>
      <c r="D112" s="580">
        <v>62.737829726988821</v>
      </c>
      <c r="E112" s="580">
        <v>54.270107793140362</v>
      </c>
      <c r="F112" s="580">
        <v>62.401828303808067</v>
      </c>
      <c r="G112" s="203"/>
      <c r="H112" s="203"/>
      <c r="I112" s="203"/>
      <c r="J112" s="203"/>
    </row>
    <row r="113" spans="1:10" ht="14">
      <c r="A113" s="239"/>
      <c r="B113" s="273" t="s">
        <v>109</v>
      </c>
      <c r="C113" s="580">
        <v>68.160986602609782</v>
      </c>
      <c r="D113" s="580">
        <v>51.730585436276542</v>
      </c>
      <c r="E113" s="580">
        <v>63.958397593368851</v>
      </c>
      <c r="F113" s="580">
        <v>61.42707491187295</v>
      </c>
      <c r="G113" s="203"/>
      <c r="H113" s="203"/>
      <c r="I113" s="203"/>
      <c r="J113" s="203"/>
    </row>
    <row r="114" spans="1:10" ht="14">
      <c r="A114" s="239"/>
      <c r="B114" s="273" t="s">
        <v>110</v>
      </c>
      <c r="C114" s="580">
        <v>83.447613299645667</v>
      </c>
      <c r="D114" s="580">
        <v>52.173531302806737</v>
      </c>
      <c r="E114" s="580">
        <v>55.023258861869969</v>
      </c>
      <c r="F114" s="580">
        <v>73.767548406811358</v>
      </c>
      <c r="G114" s="203"/>
      <c r="H114" s="203"/>
      <c r="I114" s="203"/>
      <c r="J114" s="203"/>
    </row>
    <row r="115" spans="1:10" ht="14">
      <c r="A115" s="239"/>
      <c r="B115" s="273" t="s">
        <v>117</v>
      </c>
      <c r="C115" s="580">
        <v>53.83781210541607</v>
      </c>
      <c r="D115" s="580">
        <v>52.774189585638617</v>
      </c>
      <c r="E115" s="580">
        <v>54.890145186174188</v>
      </c>
      <c r="F115" s="580">
        <v>85.139018735354085</v>
      </c>
      <c r="G115" s="203"/>
      <c r="H115" s="203"/>
      <c r="I115" s="203"/>
      <c r="J115" s="203"/>
    </row>
    <row r="116" spans="1:10" ht="14">
      <c r="A116" s="239"/>
      <c r="B116" s="273" t="s">
        <v>112</v>
      </c>
      <c r="C116" s="580">
        <v>71.946360889431517</v>
      </c>
      <c r="D116" s="580">
        <v>53.733267883367837</v>
      </c>
      <c r="E116" s="580">
        <v>55.964085150203637</v>
      </c>
      <c r="F116" s="580">
        <v>55.185500091564812</v>
      </c>
      <c r="G116" s="203"/>
      <c r="H116" s="203"/>
      <c r="I116" s="203"/>
      <c r="J116" s="203"/>
    </row>
    <row r="117" spans="1:10" ht="14">
      <c r="A117" s="239"/>
      <c r="B117" s="273" t="s">
        <v>113</v>
      </c>
      <c r="C117" s="580">
        <v>52.004003557276668</v>
      </c>
      <c r="D117" s="580">
        <v>50.834620424336613</v>
      </c>
      <c r="E117" s="580">
        <v>52.771793243882001</v>
      </c>
      <c r="F117" s="580">
        <v>49.832889805595961</v>
      </c>
      <c r="G117" s="203"/>
      <c r="H117" s="203"/>
      <c r="I117" s="203"/>
      <c r="J117" s="203"/>
    </row>
    <row r="118" spans="1:10" ht="14">
      <c r="A118" s="239"/>
      <c r="B118" s="273" t="s">
        <v>114</v>
      </c>
      <c r="C118" s="580">
        <v>63.467660992710712</v>
      </c>
      <c r="D118" s="580">
        <v>82.54884389971069</v>
      </c>
      <c r="E118" s="580">
        <v>50.976815026276647</v>
      </c>
      <c r="F118" s="580">
        <v>52.346391172238711</v>
      </c>
      <c r="G118" s="203"/>
      <c r="H118" s="203"/>
      <c r="I118" s="203"/>
      <c r="J118" s="203"/>
    </row>
    <row r="119" spans="1:10" ht="14">
      <c r="A119" s="239"/>
      <c r="B119" s="273" t="s">
        <v>115</v>
      </c>
      <c r="C119" s="580">
        <v>41.682670545298521</v>
      </c>
      <c r="D119" s="580">
        <v>73.323014076812072</v>
      </c>
      <c r="E119" s="580">
        <v>67.040874382219954</v>
      </c>
      <c r="F119" s="580">
        <v>49.525984579600816</v>
      </c>
      <c r="G119" s="203"/>
      <c r="H119" s="203"/>
      <c r="I119" s="203"/>
      <c r="J119" s="203"/>
    </row>
    <row r="120" spans="1:10" ht="14">
      <c r="A120" s="240"/>
      <c r="B120" s="274" t="s">
        <v>116</v>
      </c>
      <c r="C120" s="582">
        <v>50.290960204071041</v>
      </c>
      <c r="D120" s="582">
        <v>85.774493269055995</v>
      </c>
      <c r="E120" s="582">
        <v>90.990108393246089</v>
      </c>
      <c r="F120" s="582">
        <v>61.649690988877737</v>
      </c>
      <c r="G120" s="203"/>
      <c r="H120" s="203"/>
      <c r="I120" s="203"/>
      <c r="J120" s="203"/>
    </row>
    <row r="121" spans="1:10" ht="14">
      <c r="A121" s="238">
        <v>2024</v>
      </c>
      <c r="B121" s="272" t="s">
        <v>105</v>
      </c>
      <c r="C121" s="578">
        <v>58.226670578186209</v>
      </c>
      <c r="D121" s="578">
        <v>51.801440106784433</v>
      </c>
      <c r="E121" s="578">
        <v>51.504715244265228</v>
      </c>
      <c r="F121" s="578">
        <v>49.994131193624384</v>
      </c>
      <c r="G121" s="203"/>
      <c r="H121" s="203"/>
      <c r="I121" s="203"/>
      <c r="J121" s="203"/>
    </row>
    <row r="122" spans="1:10" ht="14">
      <c r="A122" s="239"/>
      <c r="B122" s="273" t="s">
        <v>106</v>
      </c>
      <c r="C122" s="580">
        <v>54.221716403956137</v>
      </c>
      <c r="D122" s="580">
        <v>73.417673159128299</v>
      </c>
      <c r="E122" s="580">
        <v>52.33721073004228</v>
      </c>
      <c r="F122" s="580">
        <v>57.118586254769298</v>
      </c>
      <c r="G122" s="203"/>
      <c r="H122" s="203"/>
      <c r="I122" s="203"/>
      <c r="J122" s="203"/>
    </row>
    <row r="123" spans="1:10" ht="14">
      <c r="A123" s="239"/>
      <c r="B123" s="273" t="s">
        <v>107</v>
      </c>
      <c r="C123" s="580">
        <v>56.052798089152702</v>
      </c>
      <c r="D123" s="580">
        <v>52.176974146419738</v>
      </c>
      <c r="E123" s="580">
        <v>53.621109602716842</v>
      </c>
      <c r="F123" s="580">
        <v>53.000749691224158</v>
      </c>
      <c r="G123" s="203"/>
      <c r="H123" s="203"/>
      <c r="I123" s="203"/>
      <c r="J123" s="203"/>
    </row>
    <row r="124" spans="1:10" ht="14">
      <c r="A124" s="239"/>
      <c r="B124" s="273" t="s">
        <v>108</v>
      </c>
      <c r="C124" s="598">
        <v>55.371535911815279</v>
      </c>
      <c r="D124" s="598">
        <v>39.903194555955352</v>
      </c>
      <c r="E124" s="598">
        <v>54.258867412475347</v>
      </c>
      <c r="F124" s="598">
        <v>54.876675826892679</v>
      </c>
      <c r="G124" s="203"/>
      <c r="H124" s="203"/>
      <c r="I124" s="203"/>
      <c r="J124" s="203"/>
    </row>
    <row r="125" spans="1:10" ht="14">
      <c r="A125" s="239"/>
      <c r="B125" s="273" t="s">
        <v>109</v>
      </c>
      <c r="C125" s="580">
        <v>49.0314763969631</v>
      </c>
      <c r="D125" s="580">
        <v>63.0833143724089</v>
      </c>
      <c r="E125" s="580">
        <v>52.262141328417037</v>
      </c>
      <c r="F125" s="580">
        <v>53.842716517069341</v>
      </c>
      <c r="G125" s="203"/>
      <c r="H125" s="203"/>
      <c r="I125" s="203"/>
      <c r="J125" s="203"/>
    </row>
    <row r="126" spans="1:10" ht="14">
      <c r="A126" s="239"/>
      <c r="B126" s="273" t="s">
        <v>110</v>
      </c>
      <c r="C126" s="580">
        <v>51.908444585936827</v>
      </c>
      <c r="D126" s="580">
        <v>52.163524712501967</v>
      </c>
      <c r="E126" s="580">
        <v>51.7211105100669</v>
      </c>
      <c r="F126" s="580">
        <v>48.284138737094381</v>
      </c>
      <c r="G126" s="203"/>
      <c r="H126" s="203"/>
      <c r="I126" s="203"/>
      <c r="J126" s="203"/>
    </row>
    <row r="127" spans="1:10" ht="14">
      <c r="A127" s="239"/>
      <c r="B127" s="273" t="s">
        <v>117</v>
      </c>
      <c r="C127" s="580">
        <v>61.128606551276476</v>
      </c>
      <c r="D127" s="580">
        <v>28.05016943369959</v>
      </c>
      <c r="E127" s="580">
        <v>14.638594929698581</v>
      </c>
      <c r="F127" s="580">
        <v>78.736967757511394</v>
      </c>
      <c r="G127" s="203"/>
      <c r="H127" s="203"/>
      <c r="I127" s="203"/>
      <c r="J127" s="203"/>
    </row>
    <row r="128" spans="1:10" ht="14">
      <c r="A128" s="239"/>
      <c r="B128" s="273" t="s">
        <v>112</v>
      </c>
      <c r="C128" s="580">
        <v>50.425545556942971</v>
      </c>
      <c r="D128" s="580">
        <v>76.151466687170341</v>
      </c>
      <c r="E128" s="580">
        <v>52.452738763403431</v>
      </c>
      <c r="F128" s="580">
        <v>63.189520220946449</v>
      </c>
      <c r="G128" s="203"/>
      <c r="H128" s="203"/>
      <c r="I128" s="203"/>
      <c r="J128" s="203"/>
    </row>
    <row r="129" spans="1:10" ht="14">
      <c r="A129" s="239"/>
      <c r="B129" s="273" t="s">
        <v>113</v>
      </c>
      <c r="C129" s="580">
        <v>60.036005781343469</v>
      </c>
      <c r="D129" s="580">
        <v>50.915988486783412</v>
      </c>
      <c r="E129" s="580">
        <v>52.460502546283983</v>
      </c>
      <c r="F129" s="580">
        <v>52.796739285874843</v>
      </c>
      <c r="G129" s="203"/>
      <c r="H129" s="203"/>
      <c r="I129" s="203"/>
      <c r="J129" s="203"/>
    </row>
    <row r="130" spans="1:10" ht="14">
      <c r="A130" s="239"/>
      <c r="B130" s="273" t="s">
        <v>114</v>
      </c>
      <c r="C130" s="580">
        <v>69.937213484338415</v>
      </c>
      <c r="D130" s="580">
        <v>51.15930685012242</v>
      </c>
      <c r="E130" s="580">
        <v>50.991665757497863</v>
      </c>
      <c r="F130" s="580">
        <v>53.161788316869377</v>
      </c>
      <c r="G130" s="203"/>
      <c r="H130" s="203"/>
      <c r="I130" s="203"/>
      <c r="J130" s="203"/>
    </row>
    <row r="131" spans="1:10" ht="14">
      <c r="A131" s="239"/>
      <c r="B131" s="273" t="s">
        <v>115</v>
      </c>
      <c r="C131" s="580">
        <v>46.951571455289532</v>
      </c>
      <c r="D131" s="580">
        <v>50.374877715833833</v>
      </c>
      <c r="E131" s="580">
        <v>52.077260097946123</v>
      </c>
      <c r="F131" s="580">
        <v>51.424930695270888</v>
      </c>
      <c r="G131" s="203"/>
      <c r="H131" s="203"/>
      <c r="I131" s="203"/>
      <c r="J131" s="203"/>
    </row>
    <row r="132" spans="1:10" ht="14">
      <c r="A132" s="240"/>
      <c r="B132" s="274" t="s">
        <v>116</v>
      </c>
      <c r="C132" s="582">
        <v>53.459587697346791</v>
      </c>
      <c r="D132" s="582">
        <v>52.464824283322102</v>
      </c>
      <c r="E132" s="582">
        <v>54.4003542619512</v>
      </c>
      <c r="F132" s="582">
        <v>70.431054816270077</v>
      </c>
      <c r="G132" s="203"/>
      <c r="H132" s="203"/>
      <c r="I132" s="203"/>
      <c r="J132" s="203"/>
    </row>
    <row r="133" spans="1:10" ht="14">
      <c r="A133" s="238">
        <v>2025</v>
      </c>
      <c r="B133" s="272" t="s">
        <v>105</v>
      </c>
      <c r="C133" s="578">
        <v>49.782158592678407</v>
      </c>
      <c r="D133" s="578">
        <v>49.912047994261947</v>
      </c>
      <c r="E133" s="578">
        <v>49.806135854722818</v>
      </c>
      <c r="F133" s="578">
        <v>69.04410643066403</v>
      </c>
      <c r="G133" s="203"/>
      <c r="H133" s="203"/>
      <c r="I133" s="203"/>
      <c r="J133" s="203"/>
    </row>
    <row r="134" spans="1:10" ht="14">
      <c r="A134" s="239"/>
      <c r="B134" s="273" t="s">
        <v>106</v>
      </c>
      <c r="C134" s="580">
        <v>62.559978238167588</v>
      </c>
      <c r="D134" s="580">
        <v>52.681686347910102</v>
      </c>
      <c r="E134" s="580">
        <v>64.096292424920748</v>
      </c>
      <c r="F134" s="580">
        <v>65.004243134269586</v>
      </c>
      <c r="G134" s="203"/>
      <c r="H134" s="203"/>
      <c r="I134" s="203"/>
      <c r="J134" s="203"/>
    </row>
    <row r="135" spans="1:10" ht="14">
      <c r="A135" s="239"/>
      <c r="B135" s="273" t="s">
        <v>107</v>
      </c>
      <c r="C135" s="580">
        <v>47.488624068875907</v>
      </c>
      <c r="D135" s="580">
        <v>43.479942765828973</v>
      </c>
      <c r="E135" s="580">
        <v>40.490080105278871</v>
      </c>
      <c r="F135" s="580">
        <v>65.155584551783789</v>
      </c>
      <c r="G135" s="203"/>
      <c r="H135" s="203"/>
      <c r="I135" s="203"/>
      <c r="J135" s="203"/>
    </row>
    <row r="136" spans="1:10" ht="14">
      <c r="A136" s="239"/>
      <c r="B136" s="273" t="s">
        <v>108</v>
      </c>
      <c r="C136" s="580">
        <v>52.872480702987033</v>
      </c>
      <c r="D136" s="580">
        <v>62.992808011676502</v>
      </c>
      <c r="E136" s="580">
        <v>38.78285764781949</v>
      </c>
      <c r="F136" s="580">
        <v>55.130093878209962</v>
      </c>
      <c r="G136" s="203"/>
      <c r="H136" s="203"/>
      <c r="I136" s="203"/>
      <c r="J136" s="203"/>
    </row>
    <row r="137" spans="1:10" ht="14">
      <c r="A137" s="239"/>
      <c r="B137" s="273" t="s">
        <v>109</v>
      </c>
      <c r="C137" s="580">
        <v>49.591137138192217</v>
      </c>
      <c r="D137" s="580">
        <v>52.93042591766369</v>
      </c>
      <c r="E137" s="580">
        <v>69.151600552223442</v>
      </c>
      <c r="F137" s="580">
        <v>67.673618809750849</v>
      </c>
      <c r="G137" s="203"/>
      <c r="H137" s="203"/>
      <c r="I137" s="203"/>
      <c r="J137" s="203"/>
    </row>
    <row r="138" spans="1:10" ht="14">
      <c r="A138" s="239"/>
      <c r="B138" s="273" t="s">
        <v>110</v>
      </c>
      <c r="C138" s="594">
        <v>43.86916270631518</v>
      </c>
      <c r="D138" s="594">
        <v>30.237944049712819</v>
      </c>
      <c r="E138" s="594">
        <v>72.999087877731938</v>
      </c>
      <c r="F138" s="594">
        <v>68.531576732421584</v>
      </c>
      <c r="G138" s="203"/>
      <c r="H138" s="203"/>
      <c r="I138" s="203"/>
      <c r="J138" s="203"/>
    </row>
    <row r="139" spans="1:10" ht="14">
      <c r="A139" s="239"/>
      <c r="B139" s="273" t="s">
        <v>117</v>
      </c>
      <c r="C139" s="594">
        <v>70.88689269801155</v>
      </c>
      <c r="D139" s="594">
        <v>52.402596368521628</v>
      </c>
      <c r="E139" s="594">
        <v>36.809677392755717</v>
      </c>
      <c r="F139" s="594">
        <v>52.402372887074002</v>
      </c>
      <c r="G139" s="203"/>
      <c r="H139" s="203"/>
      <c r="I139" s="203"/>
      <c r="J139" s="203"/>
    </row>
    <row r="140" spans="1:10" ht="14">
      <c r="A140" s="239"/>
      <c r="B140" s="273" t="s">
        <v>112</v>
      </c>
      <c r="C140" s="594">
        <v>49.80930392847872</v>
      </c>
      <c r="D140" s="594">
        <v>52.277176814485351</v>
      </c>
      <c r="E140" s="594">
        <v>54.907476837238193</v>
      </c>
      <c r="F140" s="594">
        <v>47.833452083527867</v>
      </c>
      <c r="G140" s="203"/>
      <c r="H140" s="203"/>
      <c r="I140" s="203"/>
      <c r="J140" s="203"/>
    </row>
    <row r="141" spans="1:10" ht="14">
      <c r="A141" s="239"/>
      <c r="B141" s="273" t="s">
        <v>113</v>
      </c>
      <c r="C141" s="594">
        <v>55.176713577424799</v>
      </c>
      <c r="D141" s="594">
        <v>52.74571306327109</v>
      </c>
      <c r="E141" s="594">
        <v>49.474349734138713</v>
      </c>
      <c r="F141" s="594">
        <v>45.004340145637038</v>
      </c>
      <c r="G141" s="203"/>
      <c r="H141" s="203"/>
      <c r="I141" s="203"/>
      <c r="J141" s="203"/>
    </row>
    <row r="142" spans="1:10" ht="14">
      <c r="A142" s="239"/>
      <c r="B142" s="273" t="s">
        <v>114</v>
      </c>
      <c r="C142" s="594">
        <v>59.864550169074057</v>
      </c>
      <c r="D142" s="594">
        <v>52.023820668153412</v>
      </c>
      <c r="E142" s="594">
        <v>62.652175882253729</v>
      </c>
      <c r="F142" s="594">
        <v>43.047958346926599</v>
      </c>
      <c r="G142" s="203"/>
      <c r="H142" s="203"/>
      <c r="I142" s="203"/>
      <c r="J142" s="203"/>
    </row>
    <row r="143" spans="1:10" ht="14">
      <c r="A143" s="239"/>
      <c r="B143" s="273" t="s">
        <v>115</v>
      </c>
      <c r="C143" s="594">
        <v>62.086203198338538</v>
      </c>
      <c r="D143" s="594">
        <v>52.321157835781541</v>
      </c>
      <c r="E143" s="594">
        <v>52.330085538111582</v>
      </c>
      <c r="F143" s="594">
        <v>54.014625608704677</v>
      </c>
      <c r="G143" s="203"/>
      <c r="H143" s="203"/>
      <c r="I143" s="203"/>
      <c r="J143" s="203"/>
    </row>
    <row r="144" spans="1:10" ht="14">
      <c r="A144" s="240"/>
      <c r="B144" s="274" t="s">
        <v>116</v>
      </c>
      <c r="C144" s="595">
        <v>48.645126832655507</v>
      </c>
      <c r="D144" s="595">
        <v>52.915934841256941</v>
      </c>
      <c r="E144" s="595">
        <v>51.456831988716267</v>
      </c>
      <c r="F144" s="595">
        <v>60.090693271949753</v>
      </c>
      <c r="G144" s="203"/>
      <c r="H144" s="203"/>
      <c r="I144" s="203"/>
      <c r="J144" s="203"/>
    </row>
    <row r="145" spans="1:10" ht="14">
      <c r="A145" s="238">
        <v>2026</v>
      </c>
      <c r="B145" s="272" t="s">
        <v>105</v>
      </c>
      <c r="C145" s="686">
        <v>51.936876626704219</v>
      </c>
      <c r="D145" s="686">
        <v>64.47842858168751</v>
      </c>
      <c r="E145" s="686">
        <v>50.848246623977488</v>
      </c>
      <c r="F145" s="686">
        <v>49.592099119169617</v>
      </c>
      <c r="G145" s="203"/>
      <c r="H145" s="203"/>
      <c r="I145" s="203"/>
      <c r="J145" s="203"/>
    </row>
    <row r="146" spans="1:10" ht="14">
      <c r="A146" s="239"/>
      <c r="B146" s="273" t="s">
        <v>106</v>
      </c>
      <c r="C146" s="594">
        <v>57.998794124800312</v>
      </c>
      <c r="D146" s="594">
        <v>61.238273674617609</v>
      </c>
      <c r="E146" s="594">
        <v>58.528672145868562</v>
      </c>
      <c r="F146" s="594">
        <v>53.246447930525179</v>
      </c>
      <c r="G146" s="203"/>
      <c r="H146" s="203"/>
      <c r="I146" s="203"/>
      <c r="J146" s="203"/>
    </row>
    <row r="147" spans="1:10" ht="14">
      <c r="A147" s="240"/>
      <c r="B147" s="274" t="s">
        <v>107</v>
      </c>
      <c r="C147" s="595">
        <v>50.754410350788021</v>
      </c>
      <c r="D147" s="595">
        <v>76.250289081357053</v>
      </c>
      <c r="E147" s="595">
        <v>39.485473349333958</v>
      </c>
      <c r="F147" s="595">
        <v>52.16333881338317</v>
      </c>
      <c r="G147" s="203"/>
      <c r="H147" s="203"/>
      <c r="I147" s="203"/>
      <c r="J147" s="203"/>
    </row>
    <row r="148" spans="1:10">
      <c r="G148" s="203"/>
      <c r="H148" s="203"/>
      <c r="I148" s="203"/>
      <c r="J148" s="203"/>
    </row>
    <row r="149" spans="1:10" ht="14">
      <c r="A149" s="823" t="s">
        <v>364</v>
      </c>
      <c r="B149" s="823"/>
      <c r="C149" s="823"/>
      <c r="D149" s="823"/>
      <c r="E149" s="823"/>
      <c r="F149" s="823"/>
      <c r="G149" s="203"/>
      <c r="H149" s="203"/>
      <c r="I149" s="203"/>
      <c r="J149" s="203"/>
    </row>
    <row r="150" spans="1:10" ht="14">
      <c r="A150" s="717" t="s">
        <v>98</v>
      </c>
      <c r="B150" s="718"/>
      <c r="C150" s="824" t="s">
        <v>358</v>
      </c>
      <c r="D150" s="825"/>
      <c r="E150" s="825"/>
      <c r="F150" s="826"/>
      <c r="G150" s="203"/>
      <c r="H150" s="203"/>
      <c r="I150" s="203"/>
      <c r="J150" s="203"/>
    </row>
    <row r="151" spans="1:10" ht="45" customHeight="1">
      <c r="A151" s="751"/>
      <c r="B151" s="752"/>
      <c r="C151" s="277" t="s">
        <v>359</v>
      </c>
      <c r="D151" s="277" t="s">
        <v>360</v>
      </c>
      <c r="E151" s="277" t="s">
        <v>361</v>
      </c>
      <c r="F151" s="376" t="s">
        <v>362</v>
      </c>
      <c r="G151" s="203"/>
      <c r="H151" s="203"/>
      <c r="I151" s="203"/>
      <c r="J151" s="203"/>
    </row>
    <row r="152" spans="1:10" ht="14">
      <c r="A152" s="238">
        <v>2020</v>
      </c>
      <c r="B152" s="247" t="s">
        <v>112</v>
      </c>
      <c r="C152" s="578">
        <v>36.92082422574034</v>
      </c>
      <c r="D152" s="578">
        <v>79.253481536709387</v>
      </c>
      <c r="E152" s="578">
        <v>55.682846194555971</v>
      </c>
      <c r="F152" s="579">
        <v>56.172738762967029</v>
      </c>
      <c r="G152" s="203"/>
      <c r="H152" s="203"/>
      <c r="I152" s="203"/>
      <c r="J152" s="203"/>
    </row>
    <row r="153" spans="1:10" ht="14">
      <c r="A153" s="239"/>
      <c r="B153" s="273" t="s">
        <v>113</v>
      </c>
      <c r="C153" s="580">
        <v>50.668277842365988</v>
      </c>
      <c r="D153" s="580">
        <v>49.771438851919591</v>
      </c>
      <c r="E153" s="580">
        <v>53.54290672885098</v>
      </c>
      <c r="F153" s="581">
        <v>54.328433914927032</v>
      </c>
      <c r="G153" s="203"/>
      <c r="H153" s="203"/>
      <c r="I153" s="203"/>
      <c r="J153" s="203"/>
    </row>
    <row r="154" spans="1:10" ht="14">
      <c r="A154" s="239"/>
      <c r="B154" s="273" t="s">
        <v>114</v>
      </c>
      <c r="C154" s="580">
        <v>48.535077989010382</v>
      </c>
      <c r="D154" s="580">
        <v>49.27731000941391</v>
      </c>
      <c r="E154" s="580">
        <v>55.651777194141019</v>
      </c>
      <c r="F154" s="581">
        <v>24.67944581563448</v>
      </c>
      <c r="G154" s="203"/>
      <c r="H154" s="203"/>
      <c r="I154" s="203"/>
      <c r="J154" s="203"/>
    </row>
    <row r="155" spans="1:10" ht="14">
      <c r="A155" s="239"/>
      <c r="B155" s="273" t="s">
        <v>115</v>
      </c>
      <c r="C155" s="580">
        <v>58.446308052803857</v>
      </c>
      <c r="D155" s="580">
        <v>50.660389952117868</v>
      </c>
      <c r="E155" s="580">
        <v>52.834999716310797</v>
      </c>
      <c r="F155" s="581">
        <v>35.017849443952898</v>
      </c>
      <c r="G155" s="203"/>
      <c r="H155" s="203"/>
      <c r="I155" s="203"/>
      <c r="J155" s="203"/>
    </row>
    <row r="156" spans="1:10" ht="14">
      <c r="A156" s="239"/>
      <c r="B156" s="274" t="s">
        <v>116</v>
      </c>
      <c r="C156" s="582">
        <v>63.970489421473381</v>
      </c>
      <c r="D156" s="582">
        <v>50.880202494037157</v>
      </c>
      <c r="E156" s="582">
        <v>53.687106922921949</v>
      </c>
      <c r="F156" s="583">
        <v>48.834100935705663</v>
      </c>
      <c r="G156" s="203"/>
      <c r="H156" s="203"/>
      <c r="I156" s="203"/>
      <c r="J156" s="203"/>
    </row>
    <row r="157" spans="1:10" ht="14">
      <c r="A157" s="597">
        <v>2021</v>
      </c>
      <c r="B157" s="272" t="s">
        <v>105</v>
      </c>
      <c r="C157" s="578">
        <v>49.343532033770053</v>
      </c>
      <c r="D157" s="578">
        <v>52.950544789765573</v>
      </c>
      <c r="E157" s="578">
        <v>49.718237593470057</v>
      </c>
      <c r="F157" s="579">
        <v>53.877962024660192</v>
      </c>
      <c r="G157" s="203"/>
      <c r="H157" s="203"/>
      <c r="I157" s="203"/>
      <c r="J157" s="203"/>
    </row>
    <row r="158" spans="1:10" ht="14">
      <c r="A158" s="284"/>
      <c r="B158" s="273" t="s">
        <v>106</v>
      </c>
      <c r="C158" s="580">
        <v>82.194187641362731</v>
      </c>
      <c r="D158" s="580">
        <v>51.379281471909017</v>
      </c>
      <c r="E158" s="580">
        <v>55.102011021405332</v>
      </c>
      <c r="F158" s="581">
        <v>52.796347283930018</v>
      </c>
      <c r="G158" s="203"/>
      <c r="H158" s="203"/>
      <c r="I158" s="203"/>
      <c r="J158" s="203"/>
    </row>
    <row r="159" spans="1:10" ht="14">
      <c r="A159" s="284"/>
      <c r="B159" s="273" t="s">
        <v>107</v>
      </c>
      <c r="C159" s="580">
        <v>55.541688625486088</v>
      </c>
      <c r="D159" s="580">
        <v>86.019683658118424</v>
      </c>
      <c r="E159" s="580">
        <v>59.927143091949453</v>
      </c>
      <c r="F159" s="581">
        <v>46.32908668404297</v>
      </c>
      <c r="G159" s="203"/>
      <c r="H159" s="203"/>
      <c r="I159" s="203"/>
      <c r="J159" s="203"/>
    </row>
    <row r="160" spans="1:10" ht="14">
      <c r="A160" s="284"/>
      <c r="B160" s="273" t="s">
        <v>108</v>
      </c>
      <c r="C160" s="580">
        <v>52.503960824781231</v>
      </c>
      <c r="D160" s="580">
        <v>62.679021496206317</v>
      </c>
      <c r="E160" s="580">
        <v>67.875532376324188</v>
      </c>
      <c r="F160" s="581">
        <v>48.118185207080522</v>
      </c>
      <c r="G160" s="203"/>
      <c r="H160" s="203"/>
      <c r="I160" s="203"/>
      <c r="J160" s="203"/>
    </row>
    <row r="161" spans="1:10" ht="14">
      <c r="A161" s="284"/>
      <c r="B161" s="273" t="s">
        <v>109</v>
      </c>
      <c r="C161" s="580">
        <v>53.250955740916822</v>
      </c>
      <c r="D161" s="580">
        <v>40.191041514010259</v>
      </c>
      <c r="E161" s="580">
        <v>60.676886058042861</v>
      </c>
      <c r="F161" s="581">
        <v>56.880007595439572</v>
      </c>
      <c r="G161" s="203"/>
      <c r="H161" s="203"/>
      <c r="I161" s="203"/>
      <c r="J161" s="203"/>
    </row>
    <row r="162" spans="1:10" ht="14">
      <c r="A162" s="284"/>
      <c r="B162" s="273" t="s">
        <v>110</v>
      </c>
      <c r="C162" s="580">
        <v>46.113625429870957</v>
      </c>
      <c r="D162" s="580">
        <v>53.018059010649438</v>
      </c>
      <c r="E162" s="580">
        <v>52.651955495472947</v>
      </c>
      <c r="F162" s="581">
        <v>50.232603322673583</v>
      </c>
      <c r="G162" s="203"/>
      <c r="H162" s="203"/>
      <c r="I162" s="203"/>
      <c r="J162" s="203"/>
    </row>
    <row r="163" spans="1:10" ht="14">
      <c r="A163" s="284"/>
      <c r="B163" s="273" t="s">
        <v>117</v>
      </c>
      <c r="C163" s="580">
        <v>50.247475080467282</v>
      </c>
      <c r="D163" s="580">
        <v>52.156270404080459</v>
      </c>
      <c r="E163" s="580">
        <v>60.846782689776219</v>
      </c>
      <c r="F163" s="581">
        <v>59.874809515935112</v>
      </c>
      <c r="G163" s="203"/>
      <c r="H163" s="203"/>
      <c r="I163" s="203"/>
      <c r="J163" s="203"/>
    </row>
    <row r="164" spans="1:10" ht="14">
      <c r="A164" s="284"/>
      <c r="B164" s="273" t="s">
        <v>112</v>
      </c>
      <c r="C164" s="580">
        <v>49.56452305889249</v>
      </c>
      <c r="D164" s="580">
        <v>51.262536315624793</v>
      </c>
      <c r="E164" s="580">
        <v>54.80206465949113</v>
      </c>
      <c r="F164" s="581">
        <v>41.563870880135383</v>
      </c>
      <c r="G164" s="203"/>
      <c r="H164" s="203"/>
      <c r="I164" s="203"/>
      <c r="J164" s="203"/>
    </row>
    <row r="165" spans="1:10" ht="14">
      <c r="A165" s="284"/>
      <c r="B165" s="273" t="s">
        <v>113</v>
      </c>
      <c r="C165" s="580">
        <v>51.010451171940581</v>
      </c>
      <c r="D165" s="580">
        <v>47.385931486508269</v>
      </c>
      <c r="E165" s="580">
        <v>45.562790855331748</v>
      </c>
      <c r="F165" s="581">
        <v>25.782783895302661</v>
      </c>
      <c r="G165" s="203"/>
      <c r="H165" s="203"/>
      <c r="I165" s="203"/>
      <c r="J165" s="203"/>
    </row>
    <row r="166" spans="1:10" ht="14">
      <c r="A166" s="284"/>
      <c r="B166" s="273" t="s">
        <v>114</v>
      </c>
      <c r="C166" s="580">
        <v>48.450319905314302</v>
      </c>
      <c r="D166" s="580">
        <v>48.08522484633783</v>
      </c>
      <c r="E166" s="580">
        <v>49.865595305337067</v>
      </c>
      <c r="F166" s="581">
        <v>38.939806519026</v>
      </c>
      <c r="G166" s="203"/>
      <c r="H166" s="203"/>
      <c r="I166" s="203"/>
      <c r="J166" s="203"/>
    </row>
    <row r="167" spans="1:10" ht="14">
      <c r="A167" s="239"/>
      <c r="B167" s="273" t="s">
        <v>115</v>
      </c>
      <c r="C167" s="580">
        <v>48.808620652472648</v>
      </c>
      <c r="D167" s="580">
        <v>47.14337469691494</v>
      </c>
      <c r="E167" s="580">
        <v>85.140742683641989</v>
      </c>
      <c r="F167" s="581">
        <v>48.528848566626593</v>
      </c>
      <c r="G167" s="203"/>
      <c r="H167" s="203"/>
      <c r="I167" s="203"/>
      <c r="J167" s="203"/>
    </row>
    <row r="168" spans="1:10" ht="14">
      <c r="A168" s="285"/>
      <c r="B168" s="274" t="s">
        <v>116</v>
      </c>
      <c r="C168" s="582">
        <v>48.989313538190707</v>
      </c>
      <c r="D168" s="582">
        <v>38.155175264870991</v>
      </c>
      <c r="E168" s="582">
        <v>52.162298254520053</v>
      </c>
      <c r="F168" s="582">
        <v>49.365145902232328</v>
      </c>
      <c r="G168" s="203"/>
      <c r="H168" s="203"/>
      <c r="I168" s="203"/>
      <c r="J168" s="203"/>
    </row>
    <row r="169" spans="1:10" ht="14">
      <c r="A169" s="238">
        <v>2022</v>
      </c>
      <c r="B169" s="272" t="s">
        <v>105</v>
      </c>
      <c r="C169" s="578">
        <v>53.182587085317358</v>
      </c>
      <c r="D169" s="578">
        <v>62.583237871677497</v>
      </c>
      <c r="E169" s="578">
        <v>51.106722924675537</v>
      </c>
      <c r="F169" s="578">
        <v>46.189272063104177</v>
      </c>
      <c r="G169" s="203"/>
      <c r="H169" s="203"/>
      <c r="I169" s="203"/>
      <c r="J169" s="203"/>
    </row>
    <row r="170" spans="1:10" ht="14">
      <c r="A170" s="239"/>
      <c r="B170" s="273" t="s">
        <v>106</v>
      </c>
      <c r="C170" s="580">
        <v>50.35284650504903</v>
      </c>
      <c r="D170" s="580">
        <v>39.554683449706218</v>
      </c>
      <c r="E170" s="580">
        <v>53.247233008458387</v>
      </c>
      <c r="F170" s="580">
        <v>44.036600887545937</v>
      </c>
      <c r="G170" s="203"/>
      <c r="H170" s="203"/>
      <c r="I170" s="203"/>
      <c r="J170" s="203"/>
    </row>
    <row r="171" spans="1:10" ht="14">
      <c r="A171" s="239"/>
      <c r="B171" s="273" t="s">
        <v>107</v>
      </c>
      <c r="C171" s="580">
        <v>50.127755759603012</v>
      </c>
      <c r="D171" s="580">
        <v>50.520063642762189</v>
      </c>
      <c r="E171" s="580">
        <v>87.497772030780894</v>
      </c>
      <c r="F171" s="580">
        <v>56.12975355920819</v>
      </c>
      <c r="G171" s="203"/>
      <c r="H171" s="203"/>
      <c r="I171" s="203"/>
      <c r="J171" s="203"/>
    </row>
    <row r="172" spans="1:10" ht="14">
      <c r="A172" s="239"/>
      <c r="B172" s="273" t="s">
        <v>108</v>
      </c>
      <c r="C172" s="580">
        <v>56.696481140420573</v>
      </c>
      <c r="D172" s="580">
        <v>77.726019118426763</v>
      </c>
      <c r="E172" s="580">
        <v>50.120745851692149</v>
      </c>
      <c r="F172" s="580">
        <v>58.125048555081079</v>
      </c>
      <c r="G172" s="203"/>
      <c r="H172" s="203"/>
      <c r="I172" s="203"/>
      <c r="J172" s="203"/>
    </row>
    <row r="173" spans="1:10" ht="14">
      <c r="A173" s="239"/>
      <c r="B173" s="273" t="s">
        <v>109</v>
      </c>
      <c r="C173" s="580">
        <v>51.389807809821697</v>
      </c>
      <c r="D173" s="580">
        <v>34.30672632145324</v>
      </c>
      <c r="E173" s="580">
        <v>51.733950439861651</v>
      </c>
      <c r="F173" s="580">
        <v>78.08731503302505</v>
      </c>
      <c r="G173" s="203"/>
      <c r="H173" s="203"/>
      <c r="I173" s="203"/>
      <c r="J173" s="203"/>
    </row>
    <row r="174" spans="1:10" ht="14">
      <c r="A174" s="239"/>
      <c r="B174" s="273" t="s">
        <v>110</v>
      </c>
      <c r="C174" s="580">
        <v>50.250463109884024</v>
      </c>
      <c r="D174" s="580">
        <v>51.170857299586068</v>
      </c>
      <c r="E174" s="580">
        <v>53.375568312390953</v>
      </c>
      <c r="F174" s="580">
        <v>72.256674972073895</v>
      </c>
      <c r="G174" s="203"/>
      <c r="H174" s="203"/>
      <c r="I174" s="203"/>
      <c r="J174" s="203"/>
    </row>
    <row r="175" spans="1:10" ht="14">
      <c r="A175" s="239"/>
      <c r="B175" s="273" t="s">
        <v>117</v>
      </c>
      <c r="C175" s="580">
        <v>52.485123519862107</v>
      </c>
      <c r="D175" s="580">
        <v>61.764474571692617</v>
      </c>
      <c r="E175" s="580">
        <v>51.468677327867262</v>
      </c>
      <c r="F175" s="580">
        <v>74.962762755366981</v>
      </c>
      <c r="G175" s="203"/>
      <c r="H175" s="203"/>
      <c r="I175" s="203"/>
      <c r="J175" s="203"/>
    </row>
    <row r="176" spans="1:10" ht="14">
      <c r="A176" s="239"/>
      <c r="B176" s="273" t="s">
        <v>112</v>
      </c>
      <c r="C176" s="580">
        <v>52.297942009275921</v>
      </c>
      <c r="D176" s="580">
        <v>74.056738991521684</v>
      </c>
      <c r="E176" s="580">
        <v>85.696387833558802</v>
      </c>
      <c r="F176" s="580">
        <v>48.445826304039542</v>
      </c>
      <c r="G176" s="203"/>
      <c r="H176" s="203"/>
      <c r="I176" s="203"/>
      <c r="J176" s="203"/>
    </row>
    <row r="177" spans="1:10" ht="14">
      <c r="A177" s="239"/>
      <c r="B177" s="273" t="s">
        <v>113</v>
      </c>
      <c r="C177" s="580">
        <v>50.536348666667578</v>
      </c>
      <c r="D177" s="580">
        <v>86.489496808805981</v>
      </c>
      <c r="E177" s="580">
        <v>53.900098375349501</v>
      </c>
      <c r="F177" s="580">
        <v>53.600006563674221</v>
      </c>
      <c r="G177" s="203"/>
      <c r="H177" s="203"/>
      <c r="I177" s="203"/>
      <c r="J177" s="203"/>
    </row>
    <row r="178" spans="1:10" ht="14">
      <c r="A178" s="239"/>
      <c r="B178" s="273" t="s">
        <v>114</v>
      </c>
      <c r="C178" s="580">
        <v>66.445323657421554</v>
      </c>
      <c r="D178" s="580">
        <v>51.530302656258122</v>
      </c>
      <c r="E178" s="580">
        <v>59.597569610582319</v>
      </c>
      <c r="F178" s="580">
        <v>47.535985077936537</v>
      </c>
      <c r="G178" s="203"/>
      <c r="H178" s="203"/>
      <c r="I178" s="203"/>
      <c r="J178" s="203"/>
    </row>
    <row r="179" spans="1:10" ht="14">
      <c r="A179" s="239"/>
      <c r="B179" s="273" t="s">
        <v>115</v>
      </c>
      <c r="C179" s="580">
        <v>53.449829332279712</v>
      </c>
      <c r="D179" s="580">
        <v>54.137286506687552</v>
      </c>
      <c r="E179" s="580">
        <v>57.315613384656878</v>
      </c>
      <c r="F179" s="580">
        <v>50.45793672918856</v>
      </c>
      <c r="G179" s="203"/>
      <c r="H179" s="203"/>
      <c r="I179" s="203"/>
      <c r="J179" s="203"/>
    </row>
    <row r="180" spans="1:10" ht="14">
      <c r="A180" s="240"/>
      <c r="B180" s="274" t="s">
        <v>116</v>
      </c>
      <c r="C180" s="582">
        <v>55.117967233557501</v>
      </c>
      <c r="D180" s="582">
        <v>49.047356116433477</v>
      </c>
      <c r="E180" s="582">
        <v>54.065087015935141</v>
      </c>
      <c r="F180" s="582">
        <v>49.918957999903967</v>
      </c>
      <c r="G180" s="203"/>
      <c r="H180" s="203"/>
      <c r="I180" s="203"/>
      <c r="J180" s="203"/>
    </row>
    <row r="181" spans="1:10" ht="14">
      <c r="A181" s="238">
        <v>2023</v>
      </c>
      <c r="B181" s="272" t="s">
        <v>105</v>
      </c>
      <c r="C181" s="578">
        <v>59.860361922092721</v>
      </c>
      <c r="D181" s="578">
        <v>63.532115002050773</v>
      </c>
      <c r="E181" s="578">
        <v>53.707246734510598</v>
      </c>
      <c r="F181" s="578">
        <v>47.749219180537253</v>
      </c>
      <c r="G181" s="203"/>
      <c r="H181" s="203"/>
      <c r="I181" s="203"/>
      <c r="J181" s="203"/>
    </row>
    <row r="182" spans="1:10" ht="14">
      <c r="A182" s="239"/>
      <c r="B182" s="273" t="s">
        <v>106</v>
      </c>
      <c r="C182" s="580">
        <v>60.738981770217151</v>
      </c>
      <c r="D182" s="580">
        <v>62.620342428312391</v>
      </c>
      <c r="E182" s="580">
        <v>62.168284157021283</v>
      </c>
      <c r="F182" s="580">
        <v>45.097402025191577</v>
      </c>
      <c r="G182" s="203"/>
      <c r="H182" s="203"/>
      <c r="I182" s="203"/>
      <c r="J182" s="203"/>
    </row>
    <row r="183" spans="1:10" ht="14">
      <c r="A183" s="239"/>
      <c r="B183" s="273" t="s">
        <v>107</v>
      </c>
      <c r="C183" s="580">
        <v>60.550050224495202</v>
      </c>
      <c r="D183" s="580">
        <v>52.848521211284663</v>
      </c>
      <c r="E183" s="580">
        <v>55.34618951987153</v>
      </c>
      <c r="F183" s="580">
        <v>64.435997557424841</v>
      </c>
      <c r="G183" s="203"/>
      <c r="H183" s="203"/>
      <c r="I183" s="203"/>
      <c r="J183" s="203"/>
    </row>
    <row r="184" spans="1:10" ht="14">
      <c r="A184" s="239"/>
      <c r="B184" s="273" t="s">
        <v>108</v>
      </c>
      <c r="C184" s="580">
        <v>40.894366194058463</v>
      </c>
      <c r="D184" s="580">
        <v>52.463138295381121</v>
      </c>
      <c r="E184" s="580">
        <v>50.590819829565561</v>
      </c>
      <c r="F184" s="580">
        <v>50.485441824583923</v>
      </c>
      <c r="G184" s="203"/>
      <c r="H184" s="203"/>
      <c r="I184" s="203"/>
      <c r="J184" s="203"/>
    </row>
    <row r="185" spans="1:10" ht="14">
      <c r="A185" s="239"/>
      <c r="B185" s="273" t="s">
        <v>109</v>
      </c>
      <c r="C185" s="580">
        <v>50.674956835689123</v>
      </c>
      <c r="D185" s="580">
        <v>51.429154112559416</v>
      </c>
      <c r="E185" s="580">
        <v>52.102184745913547</v>
      </c>
      <c r="F185" s="580">
        <v>54.323597020943843</v>
      </c>
      <c r="G185" s="203"/>
      <c r="H185" s="203"/>
      <c r="I185" s="203"/>
      <c r="J185" s="203"/>
    </row>
    <row r="186" spans="1:10" ht="14">
      <c r="A186" s="239"/>
      <c r="B186" s="273" t="s">
        <v>110</v>
      </c>
      <c r="C186" s="580">
        <v>53.498715463032532</v>
      </c>
      <c r="D186" s="580">
        <v>51.555941992537399</v>
      </c>
      <c r="E186" s="580">
        <v>50.258359441544123</v>
      </c>
      <c r="F186" s="580">
        <v>58.714185277900228</v>
      </c>
      <c r="G186" s="203"/>
      <c r="H186" s="203"/>
      <c r="I186" s="203"/>
      <c r="J186" s="203"/>
    </row>
    <row r="187" spans="1:10" ht="14">
      <c r="A187" s="239"/>
      <c r="B187" s="273" t="s">
        <v>117</v>
      </c>
      <c r="C187" s="580">
        <v>64.629849649101303</v>
      </c>
      <c r="D187" s="580">
        <v>50.710911833642697</v>
      </c>
      <c r="E187" s="580">
        <v>50.975905798059877</v>
      </c>
      <c r="F187" s="580">
        <v>79.597147741885806</v>
      </c>
      <c r="G187" s="203"/>
      <c r="H187" s="203"/>
      <c r="I187" s="203"/>
      <c r="J187" s="203"/>
    </row>
    <row r="188" spans="1:10" ht="14">
      <c r="A188" s="239"/>
      <c r="B188" s="273" t="s">
        <v>112</v>
      </c>
      <c r="C188" s="580">
        <v>51.311031990428397</v>
      </c>
      <c r="D188" s="580">
        <v>52.422088671931412</v>
      </c>
      <c r="E188" s="580">
        <v>54.370882941993713</v>
      </c>
      <c r="F188" s="580">
        <v>52.35515062529101</v>
      </c>
      <c r="G188" s="203"/>
      <c r="H188" s="203"/>
      <c r="I188" s="203"/>
      <c r="J188" s="203"/>
    </row>
    <row r="189" spans="1:10" ht="14">
      <c r="A189" s="239"/>
      <c r="B189" s="273" t="s">
        <v>113</v>
      </c>
      <c r="C189" s="580">
        <v>50.696063716064607</v>
      </c>
      <c r="D189" s="580">
        <v>54.920032339515643</v>
      </c>
      <c r="E189" s="580">
        <v>50.817242474517322</v>
      </c>
      <c r="F189" s="580">
        <v>52.83120910937653</v>
      </c>
      <c r="G189" s="203"/>
      <c r="H189" s="203"/>
      <c r="I189" s="203"/>
      <c r="J189" s="203"/>
    </row>
    <row r="190" spans="1:10" ht="14">
      <c r="A190" s="239"/>
      <c r="B190" s="273" t="s">
        <v>114</v>
      </c>
      <c r="C190" s="580">
        <v>64.014133714020119</v>
      </c>
      <c r="D190" s="580">
        <v>50.724431454550128</v>
      </c>
      <c r="E190" s="580">
        <v>74.441825321593441</v>
      </c>
      <c r="F190" s="580">
        <v>54.456725656565837</v>
      </c>
      <c r="G190" s="203"/>
      <c r="H190" s="203"/>
      <c r="I190" s="203"/>
      <c r="J190" s="203"/>
    </row>
    <row r="191" spans="1:10" ht="14">
      <c r="A191" s="239"/>
      <c r="B191" s="273" t="s">
        <v>115</v>
      </c>
      <c r="C191" s="580">
        <v>54.252632452387701</v>
      </c>
      <c r="D191" s="580">
        <v>51.202138800747257</v>
      </c>
      <c r="E191" s="580">
        <v>51.006922931334273</v>
      </c>
      <c r="F191" s="580">
        <v>52.341038779941087</v>
      </c>
      <c r="G191" s="203"/>
      <c r="H191" s="203"/>
      <c r="I191" s="203"/>
      <c r="J191" s="203"/>
    </row>
    <row r="192" spans="1:10" ht="14">
      <c r="A192" s="240"/>
      <c r="B192" s="274" t="s">
        <v>116</v>
      </c>
      <c r="C192" s="582">
        <v>52.951603864817208</v>
      </c>
      <c r="D192" s="582">
        <v>50.35718535210426</v>
      </c>
      <c r="E192" s="582">
        <v>49.776349939358049</v>
      </c>
      <c r="F192" s="582">
        <v>49.618817159222928</v>
      </c>
      <c r="G192" s="203"/>
      <c r="H192" s="203"/>
      <c r="I192" s="203"/>
      <c r="J192" s="203"/>
    </row>
    <row r="193" spans="1:10" ht="14">
      <c r="A193" s="238">
        <v>2024</v>
      </c>
      <c r="B193" s="272" t="s">
        <v>105</v>
      </c>
      <c r="C193" s="578">
        <v>59.892125273436129</v>
      </c>
      <c r="D193" s="578">
        <v>52.160506774488411</v>
      </c>
      <c r="E193" s="578">
        <v>53.226947796743268</v>
      </c>
      <c r="F193" s="578">
        <v>51.220767201745737</v>
      </c>
      <c r="G193" s="203"/>
      <c r="H193" s="203"/>
      <c r="I193" s="203"/>
      <c r="J193" s="203"/>
    </row>
    <row r="194" spans="1:10" ht="14">
      <c r="A194" s="239"/>
      <c r="B194" s="273" t="s">
        <v>106</v>
      </c>
      <c r="C194" s="580">
        <v>49.330750714312472</v>
      </c>
      <c r="D194" s="580">
        <v>51.141440969143318</v>
      </c>
      <c r="E194" s="580">
        <v>52.402174735221017</v>
      </c>
      <c r="F194" s="580">
        <v>51.235034851240187</v>
      </c>
      <c r="G194" s="203"/>
      <c r="H194" s="203"/>
      <c r="I194" s="203"/>
      <c r="J194" s="203"/>
    </row>
    <row r="195" spans="1:10" ht="14">
      <c r="A195" s="239"/>
      <c r="B195" s="273" t="s">
        <v>107</v>
      </c>
      <c r="C195" s="580">
        <v>53.372788877136379</v>
      </c>
      <c r="D195" s="580">
        <v>51.874155617464751</v>
      </c>
      <c r="E195" s="580">
        <v>50.895130123277021</v>
      </c>
      <c r="F195" s="580">
        <v>53.618405669725803</v>
      </c>
      <c r="G195" s="203"/>
      <c r="H195" s="203"/>
      <c r="I195" s="203"/>
      <c r="J195" s="203"/>
    </row>
    <row r="196" spans="1:10" ht="14">
      <c r="A196" s="239"/>
      <c r="B196" s="273" t="s">
        <v>108</v>
      </c>
      <c r="C196" s="598">
        <v>52.943389825680569</v>
      </c>
      <c r="D196" s="598">
        <v>51.647642994091157</v>
      </c>
      <c r="E196" s="598">
        <v>52.442934860914058</v>
      </c>
      <c r="F196" s="598">
        <v>56.531591459453153</v>
      </c>
      <c r="G196" s="203"/>
      <c r="H196" s="203"/>
      <c r="I196" s="203"/>
      <c r="J196" s="203"/>
    </row>
    <row r="197" spans="1:10" ht="14">
      <c r="A197" s="239"/>
      <c r="B197" s="273" t="s">
        <v>109</v>
      </c>
      <c r="C197" s="580">
        <v>44.267627125289479</v>
      </c>
      <c r="D197" s="580">
        <v>51.979762059577411</v>
      </c>
      <c r="E197" s="580">
        <v>51.111752499036939</v>
      </c>
      <c r="F197" s="580">
        <v>55.018507080820648</v>
      </c>
      <c r="G197" s="203"/>
      <c r="H197" s="203"/>
      <c r="I197" s="203"/>
      <c r="J197" s="203"/>
    </row>
    <row r="198" spans="1:10" ht="14">
      <c r="A198" s="239"/>
      <c r="B198" s="273" t="s">
        <v>110</v>
      </c>
      <c r="C198" s="580">
        <v>50.960056038095978</v>
      </c>
      <c r="D198" s="580">
        <v>52.026099444276717</v>
      </c>
      <c r="E198" s="580">
        <v>50.892351494988823</v>
      </c>
      <c r="F198" s="580">
        <v>53.632129759208993</v>
      </c>
      <c r="G198" s="203"/>
      <c r="H198" s="203"/>
      <c r="I198" s="203"/>
      <c r="J198" s="203"/>
    </row>
    <row r="199" spans="1:10" ht="14">
      <c r="A199" s="239"/>
      <c r="B199" s="273" t="s">
        <v>117</v>
      </c>
      <c r="C199" s="580">
        <v>52.42824237799848</v>
      </c>
      <c r="D199" s="580">
        <v>52.156136616041898</v>
      </c>
      <c r="E199" s="580">
        <v>51.01880692215078</v>
      </c>
      <c r="F199" s="580">
        <v>50.245539358535517</v>
      </c>
      <c r="G199" s="203"/>
      <c r="H199" s="203"/>
      <c r="I199" s="203"/>
      <c r="J199" s="203"/>
    </row>
    <row r="200" spans="1:10" ht="14">
      <c r="A200" s="239"/>
      <c r="B200" s="273" t="s">
        <v>112</v>
      </c>
      <c r="C200" s="580">
        <v>53.815933241860847</v>
      </c>
      <c r="D200" s="580">
        <v>51.528076810137392</v>
      </c>
      <c r="E200" s="580">
        <v>88.04125925571978</v>
      </c>
      <c r="F200" s="580">
        <v>52.227445663340298</v>
      </c>
      <c r="G200" s="203"/>
      <c r="H200" s="203"/>
      <c r="I200" s="203"/>
      <c r="J200" s="203"/>
    </row>
    <row r="201" spans="1:10" ht="14">
      <c r="A201" s="239"/>
      <c r="B201" s="273" t="s">
        <v>113</v>
      </c>
      <c r="C201" s="580">
        <v>43.31224060433393</v>
      </c>
      <c r="D201" s="580">
        <v>51.719732947842651</v>
      </c>
      <c r="E201" s="580">
        <v>87.278262117769231</v>
      </c>
      <c r="F201" s="580">
        <v>54.307998702293851</v>
      </c>
      <c r="G201" s="203"/>
      <c r="H201" s="203"/>
      <c r="I201" s="203"/>
      <c r="J201" s="203"/>
    </row>
    <row r="202" spans="1:10" ht="14">
      <c r="A202" s="239"/>
      <c r="B202" s="273" t="s">
        <v>114</v>
      </c>
      <c r="C202" s="580">
        <v>51.582819711960163</v>
      </c>
      <c r="D202" s="580">
        <v>51.893989798094758</v>
      </c>
      <c r="E202" s="580">
        <v>51.493887278983493</v>
      </c>
      <c r="F202" s="580">
        <v>51.730704187289327</v>
      </c>
      <c r="G202" s="203"/>
      <c r="H202" s="203"/>
      <c r="I202" s="203"/>
      <c r="J202" s="203"/>
    </row>
    <row r="203" spans="1:10" ht="14">
      <c r="A203" s="239"/>
      <c r="B203" s="273" t="s">
        <v>115</v>
      </c>
      <c r="C203" s="580">
        <v>53.528034406637147</v>
      </c>
      <c r="D203" s="580">
        <v>51.527958763137299</v>
      </c>
      <c r="E203" s="580">
        <v>51.342751889611421</v>
      </c>
      <c r="F203" s="580">
        <v>52.637359790998467</v>
      </c>
      <c r="G203" s="203"/>
      <c r="H203" s="203"/>
      <c r="I203" s="203"/>
      <c r="J203" s="203"/>
    </row>
    <row r="204" spans="1:10" ht="14">
      <c r="A204" s="240"/>
      <c r="B204" s="274" t="s">
        <v>116</v>
      </c>
      <c r="C204" s="582">
        <v>63.656690626359811</v>
      </c>
      <c r="D204" s="582">
        <v>62.630815888647071</v>
      </c>
      <c r="E204" s="582">
        <v>51.51167718357005</v>
      </c>
      <c r="F204" s="582">
        <v>53.402602110834202</v>
      </c>
      <c r="G204" s="203"/>
      <c r="H204" s="203"/>
      <c r="I204" s="203"/>
      <c r="J204" s="203"/>
    </row>
    <row r="205" spans="1:10" ht="14">
      <c r="A205" s="238">
        <v>2025</v>
      </c>
      <c r="B205" s="272" t="s">
        <v>105</v>
      </c>
      <c r="C205" s="578">
        <v>50.148882875390143</v>
      </c>
      <c r="D205" s="578">
        <v>52.518408677927013</v>
      </c>
      <c r="E205" s="578">
        <v>51.525770291077187</v>
      </c>
      <c r="F205" s="578">
        <v>52.930957734196383</v>
      </c>
      <c r="G205" s="203"/>
      <c r="H205" s="203"/>
      <c r="I205" s="203"/>
      <c r="J205" s="203"/>
    </row>
    <row r="206" spans="1:10" ht="14">
      <c r="A206" s="239"/>
      <c r="B206" s="273" t="s">
        <v>106</v>
      </c>
      <c r="C206" s="580">
        <v>55.688115853383991</v>
      </c>
      <c r="D206" s="580">
        <v>51.283610429428542</v>
      </c>
      <c r="E206" s="580">
        <v>51.304990162559619</v>
      </c>
      <c r="F206" s="580">
        <v>52.405178942075523</v>
      </c>
      <c r="G206" s="203"/>
      <c r="H206" s="203"/>
      <c r="I206" s="203"/>
      <c r="J206" s="203"/>
    </row>
    <row r="207" spans="1:10" ht="14">
      <c r="A207" s="239"/>
      <c r="B207" s="273" t="s">
        <v>107</v>
      </c>
      <c r="C207" s="580">
        <v>56.98220368710335</v>
      </c>
      <c r="D207" s="580">
        <v>52.707056792105249</v>
      </c>
      <c r="E207" s="580">
        <v>51.003234504289487</v>
      </c>
      <c r="F207" s="580">
        <v>55.171074864721668</v>
      </c>
      <c r="G207" s="203"/>
      <c r="H207" s="203"/>
      <c r="I207" s="203"/>
      <c r="J207" s="203"/>
    </row>
    <row r="208" spans="1:10" ht="14">
      <c r="A208" s="239"/>
      <c r="B208" s="273" t="s">
        <v>108</v>
      </c>
      <c r="C208" s="580">
        <v>53.876908322543059</v>
      </c>
      <c r="D208" s="580">
        <v>52.356199585223948</v>
      </c>
      <c r="E208" s="580">
        <v>64.051944469330408</v>
      </c>
      <c r="F208" s="580">
        <v>67.017550698758455</v>
      </c>
      <c r="G208" s="203"/>
      <c r="H208" s="203"/>
      <c r="I208" s="203"/>
      <c r="J208" s="203"/>
    </row>
    <row r="209" spans="1:10" ht="14">
      <c r="A209" s="239"/>
      <c r="B209" s="273" t="s">
        <v>109</v>
      </c>
      <c r="C209" s="580">
        <v>42.895229861678729</v>
      </c>
      <c r="D209" s="580">
        <v>52.299812229755283</v>
      </c>
      <c r="E209" s="580">
        <v>66.982980164739942</v>
      </c>
      <c r="F209" s="580">
        <v>57.91755843853295</v>
      </c>
      <c r="G209" s="203"/>
      <c r="H209" s="203"/>
      <c r="I209" s="203"/>
      <c r="J209" s="203"/>
    </row>
    <row r="210" spans="1:10" ht="14">
      <c r="A210" s="239"/>
      <c r="B210" s="273" t="s">
        <v>110</v>
      </c>
      <c r="C210" s="594">
        <v>59.665072235570562</v>
      </c>
      <c r="D210" s="594">
        <v>52.475109053653831</v>
      </c>
      <c r="E210" s="594">
        <v>61.686072352193641</v>
      </c>
      <c r="F210" s="594">
        <v>70.929546229925023</v>
      </c>
      <c r="G210" s="203"/>
      <c r="H210" s="203"/>
      <c r="I210" s="203"/>
      <c r="J210" s="203"/>
    </row>
    <row r="211" spans="1:10" ht="14">
      <c r="A211" s="239"/>
      <c r="B211" s="273" t="s">
        <v>117</v>
      </c>
      <c r="C211" s="594">
        <v>58.572175886348518</v>
      </c>
      <c r="D211" s="594">
        <v>52.195921776060189</v>
      </c>
      <c r="E211" s="594">
        <v>61.249629888221463</v>
      </c>
      <c r="F211" s="594">
        <v>73.480464010961498</v>
      </c>
      <c r="G211" s="203"/>
      <c r="H211" s="203"/>
      <c r="I211" s="203"/>
      <c r="J211" s="203"/>
    </row>
    <row r="212" spans="1:10" ht="14">
      <c r="A212" s="239"/>
      <c r="B212" s="273" t="s">
        <v>112</v>
      </c>
      <c r="C212" s="594">
        <v>60.481649681517737</v>
      </c>
      <c r="D212" s="594">
        <v>50.930013787356323</v>
      </c>
      <c r="E212" s="594">
        <v>62.218674312485888</v>
      </c>
      <c r="F212" s="594">
        <v>72.843162727127577</v>
      </c>
      <c r="G212" s="203"/>
      <c r="H212" s="203"/>
      <c r="I212" s="203"/>
      <c r="J212" s="203"/>
    </row>
    <row r="213" spans="1:10" ht="14">
      <c r="A213" s="239"/>
      <c r="B213" s="273" t="s">
        <v>113</v>
      </c>
      <c r="C213" s="594">
        <v>50.254741574807291</v>
      </c>
      <c r="D213" s="594">
        <v>52.055550671921438</v>
      </c>
      <c r="E213" s="594">
        <v>51.6147787730864</v>
      </c>
      <c r="F213" s="594">
        <v>74.401217120372053</v>
      </c>
      <c r="G213" s="203"/>
      <c r="H213" s="203"/>
      <c r="I213" s="203"/>
      <c r="J213" s="203"/>
    </row>
    <row r="214" spans="1:10" ht="14">
      <c r="A214" s="239"/>
      <c r="B214" s="273" t="s">
        <v>114</v>
      </c>
      <c r="C214" s="594">
        <v>56.480148113510332</v>
      </c>
      <c r="D214" s="594">
        <v>51.671651047579573</v>
      </c>
      <c r="E214" s="594">
        <v>51.707846664087157</v>
      </c>
      <c r="F214" s="594">
        <v>70.987070717517355</v>
      </c>
      <c r="G214" s="203"/>
      <c r="H214" s="203"/>
      <c r="I214" s="203"/>
      <c r="J214" s="203"/>
    </row>
    <row r="215" spans="1:10" ht="14">
      <c r="A215" s="239"/>
      <c r="B215" s="273" t="s">
        <v>115</v>
      </c>
      <c r="C215" s="594">
        <v>62.690771711489873</v>
      </c>
      <c r="D215" s="594">
        <v>50.777052759089699</v>
      </c>
      <c r="E215" s="594">
        <v>49.998016847120958</v>
      </c>
      <c r="F215" s="594">
        <v>75.40769560686357</v>
      </c>
      <c r="G215" s="203"/>
      <c r="H215" s="203"/>
      <c r="I215" s="203"/>
      <c r="J215" s="203"/>
    </row>
    <row r="216" spans="1:10" ht="14">
      <c r="A216" s="240"/>
      <c r="B216" s="274" t="s">
        <v>116</v>
      </c>
      <c r="C216" s="595">
        <v>53.609526431659468</v>
      </c>
      <c r="D216" s="595">
        <v>52.184722683335323</v>
      </c>
      <c r="E216" s="595">
        <v>50.72139334832233</v>
      </c>
      <c r="F216" s="595">
        <v>69.083410470976943</v>
      </c>
      <c r="G216" s="203"/>
      <c r="H216" s="203"/>
      <c r="I216" s="203"/>
      <c r="J216" s="203"/>
    </row>
    <row r="217" spans="1:10" ht="14">
      <c r="A217" s="238">
        <v>2026</v>
      </c>
      <c r="B217" s="272" t="s">
        <v>105</v>
      </c>
      <c r="C217" s="686">
        <v>49.370284284872447</v>
      </c>
      <c r="D217" s="686">
        <v>51.240464151810023</v>
      </c>
      <c r="E217" s="686">
        <v>51.587668019766532</v>
      </c>
      <c r="F217" s="686">
        <v>71.972777797560298</v>
      </c>
      <c r="G217" s="203"/>
      <c r="H217" s="203"/>
      <c r="I217" s="203"/>
      <c r="J217" s="203"/>
    </row>
    <row r="218" spans="1:10" ht="14">
      <c r="A218" s="239"/>
      <c r="B218" s="273" t="s">
        <v>106</v>
      </c>
      <c r="C218" s="594">
        <v>52.846056448353814</v>
      </c>
      <c r="D218" s="594">
        <v>50.83951723983742</v>
      </c>
      <c r="E218" s="594">
        <v>65.25932564152447</v>
      </c>
      <c r="F218" s="594">
        <v>65.955455244054662</v>
      </c>
      <c r="G218" s="203"/>
      <c r="H218" s="203"/>
      <c r="I218" s="203"/>
      <c r="J218" s="203"/>
    </row>
    <row r="219" spans="1:10" ht="14">
      <c r="A219" s="240"/>
      <c r="B219" s="274" t="s">
        <v>107</v>
      </c>
      <c r="C219" s="595">
        <v>55.798348909273642</v>
      </c>
      <c r="D219" s="595">
        <v>51.017188180829123</v>
      </c>
      <c r="E219" s="595">
        <v>62.99216504796366</v>
      </c>
      <c r="F219" s="595">
        <v>80.61808293415524</v>
      </c>
      <c r="G219" s="203"/>
      <c r="H219" s="203"/>
      <c r="I219" s="203"/>
      <c r="J219" s="203"/>
    </row>
    <row r="220" spans="1:10">
      <c r="G220" s="203"/>
      <c r="H220" s="203"/>
      <c r="I220" s="203"/>
      <c r="J220" s="203"/>
    </row>
    <row r="221" spans="1:10" ht="14">
      <c r="A221" s="823" t="s">
        <v>365</v>
      </c>
      <c r="B221" s="823"/>
      <c r="C221" s="823"/>
      <c r="D221" s="823"/>
      <c r="E221" s="823"/>
      <c r="F221" s="823"/>
      <c r="G221" s="203"/>
      <c r="H221" s="203"/>
      <c r="I221" s="203"/>
      <c r="J221" s="203"/>
    </row>
    <row r="222" spans="1:10" ht="14">
      <c r="A222" s="717" t="s">
        <v>98</v>
      </c>
      <c r="B222" s="718"/>
      <c r="C222" s="824" t="s">
        <v>358</v>
      </c>
      <c r="D222" s="825"/>
      <c r="E222" s="825"/>
      <c r="F222" s="826"/>
      <c r="G222" s="203"/>
      <c r="H222" s="203"/>
      <c r="I222" s="203"/>
      <c r="J222" s="203"/>
    </row>
    <row r="223" spans="1:10" ht="45" customHeight="1">
      <c r="A223" s="751"/>
      <c r="B223" s="752"/>
      <c r="C223" s="277" t="s">
        <v>359</v>
      </c>
      <c r="D223" s="277" t="s">
        <v>360</v>
      </c>
      <c r="E223" s="277" t="s">
        <v>361</v>
      </c>
      <c r="F223" s="376" t="s">
        <v>362</v>
      </c>
      <c r="G223" s="203"/>
      <c r="H223" s="203"/>
      <c r="I223" s="203"/>
      <c r="J223" s="203"/>
    </row>
    <row r="224" spans="1:10" ht="14">
      <c r="A224" s="238">
        <v>2020</v>
      </c>
      <c r="B224" s="247" t="s">
        <v>112</v>
      </c>
      <c r="C224" s="578">
        <v>46.204546873420057</v>
      </c>
      <c r="D224" s="578">
        <v>52.982011870004357</v>
      </c>
      <c r="E224" s="578">
        <v>66.977346946729298</v>
      </c>
      <c r="F224" s="579">
        <v>51.192191216540003</v>
      </c>
      <c r="G224" s="203"/>
      <c r="H224" s="203"/>
      <c r="I224" s="203"/>
      <c r="J224" s="203"/>
    </row>
    <row r="225" spans="1:10" ht="14">
      <c r="A225" s="239"/>
      <c r="B225" s="273" t="s">
        <v>113</v>
      </c>
      <c r="C225" s="580">
        <v>48.243247677566558</v>
      </c>
      <c r="D225" s="580">
        <v>49.732242030911877</v>
      </c>
      <c r="E225" s="580">
        <v>55.65257810403422</v>
      </c>
      <c r="F225" s="581">
        <v>36.772910335421606</v>
      </c>
      <c r="G225" s="203"/>
      <c r="H225" s="203"/>
      <c r="I225" s="203"/>
      <c r="J225" s="203"/>
    </row>
    <row r="226" spans="1:10" ht="14">
      <c r="A226" s="239"/>
      <c r="B226" s="273" t="s">
        <v>114</v>
      </c>
      <c r="C226" s="580">
        <v>61.772613920112242</v>
      </c>
      <c r="D226" s="580">
        <v>51.046175150242917</v>
      </c>
      <c r="E226" s="580">
        <v>55.941748157959523</v>
      </c>
      <c r="F226" s="581">
        <v>55.659807789341087</v>
      </c>
      <c r="G226" s="203"/>
      <c r="H226" s="203"/>
      <c r="I226" s="203"/>
      <c r="J226" s="203"/>
    </row>
    <row r="227" spans="1:10" ht="14">
      <c r="A227" s="239"/>
      <c r="B227" s="273" t="s">
        <v>115</v>
      </c>
      <c r="C227" s="580">
        <v>66.802400917722892</v>
      </c>
      <c r="D227" s="580">
        <v>50.685751559730541</v>
      </c>
      <c r="E227" s="580">
        <v>56.588338149513639</v>
      </c>
      <c r="F227" s="581">
        <v>50.657312310756588</v>
      </c>
      <c r="G227" s="203"/>
      <c r="H227" s="203"/>
      <c r="I227" s="203"/>
      <c r="J227" s="203"/>
    </row>
    <row r="228" spans="1:10" ht="14">
      <c r="A228" s="239"/>
      <c r="B228" s="274" t="s">
        <v>116</v>
      </c>
      <c r="C228" s="582">
        <v>45.18747376273943</v>
      </c>
      <c r="D228" s="582">
        <v>50.48320153959186</v>
      </c>
      <c r="E228" s="582">
        <v>53.163626964546872</v>
      </c>
      <c r="F228" s="583">
        <v>56.162743803860053</v>
      </c>
      <c r="G228" s="203"/>
      <c r="H228" s="203"/>
      <c r="I228" s="203"/>
      <c r="J228" s="203"/>
    </row>
    <row r="229" spans="1:10" ht="14">
      <c r="A229" s="597">
        <v>2021</v>
      </c>
      <c r="B229" s="272" t="s">
        <v>105</v>
      </c>
      <c r="C229" s="578">
        <v>50.330896876018727</v>
      </c>
      <c r="D229" s="578">
        <v>51.568892766067769</v>
      </c>
      <c r="E229" s="578">
        <v>62.102930464352333</v>
      </c>
      <c r="F229" s="579">
        <v>29.882760364454079</v>
      </c>
      <c r="G229" s="203"/>
      <c r="H229" s="203"/>
      <c r="I229" s="203"/>
      <c r="J229" s="203"/>
    </row>
    <row r="230" spans="1:10" ht="14">
      <c r="A230" s="284"/>
      <c r="B230" s="273" t="s">
        <v>106</v>
      </c>
      <c r="C230" s="580">
        <v>44.112056876642207</v>
      </c>
      <c r="D230" s="580">
        <v>52.152354487788003</v>
      </c>
      <c r="E230" s="580">
        <v>52.249138836929809</v>
      </c>
      <c r="F230" s="581">
        <v>78.909749698973897</v>
      </c>
      <c r="G230" s="203"/>
      <c r="H230" s="203"/>
      <c r="I230" s="203"/>
      <c r="J230" s="203"/>
    </row>
    <row r="231" spans="1:10" ht="14">
      <c r="A231" s="284"/>
      <c r="B231" s="273" t="s">
        <v>107</v>
      </c>
      <c r="C231" s="580">
        <v>44.492934067334211</v>
      </c>
      <c r="D231" s="580">
        <v>49.83894091361222</v>
      </c>
      <c r="E231" s="580">
        <v>46.694951640949618</v>
      </c>
      <c r="F231" s="581">
        <v>69.440362726071712</v>
      </c>
      <c r="G231" s="203"/>
      <c r="H231" s="203"/>
      <c r="I231" s="203"/>
      <c r="J231" s="203"/>
    </row>
    <row r="232" spans="1:10" ht="14">
      <c r="A232" s="284"/>
      <c r="B232" s="273" t="s">
        <v>108</v>
      </c>
      <c r="C232" s="580">
        <v>53.409281504636461</v>
      </c>
      <c r="D232" s="580">
        <v>64.337105522953451</v>
      </c>
      <c r="E232" s="580">
        <v>63.614715612706007</v>
      </c>
      <c r="F232" s="581">
        <v>73.898901818848557</v>
      </c>
      <c r="G232" s="203"/>
      <c r="H232" s="203"/>
      <c r="I232" s="203"/>
      <c r="J232" s="203"/>
    </row>
    <row r="233" spans="1:10" ht="14">
      <c r="A233" s="284"/>
      <c r="B233" s="273" t="s">
        <v>109</v>
      </c>
      <c r="C233" s="580">
        <v>46.373492639335673</v>
      </c>
      <c r="D233" s="580">
        <v>52.100298651965232</v>
      </c>
      <c r="E233" s="580">
        <v>49.480999243341699</v>
      </c>
      <c r="F233" s="581">
        <v>70.552933568860141</v>
      </c>
      <c r="G233" s="203"/>
      <c r="H233" s="203"/>
      <c r="I233" s="203"/>
      <c r="J233" s="203"/>
    </row>
    <row r="234" spans="1:10" ht="14">
      <c r="A234" s="284"/>
      <c r="B234" s="273" t="s">
        <v>110</v>
      </c>
      <c r="C234" s="580">
        <v>49.620802488952798</v>
      </c>
      <c r="D234" s="580">
        <v>51.081283867319343</v>
      </c>
      <c r="E234" s="580">
        <v>48.36658145415462</v>
      </c>
      <c r="F234" s="581">
        <v>53.006090197303926</v>
      </c>
      <c r="G234" s="203"/>
      <c r="H234" s="203"/>
      <c r="I234" s="203"/>
      <c r="J234" s="203"/>
    </row>
    <row r="235" spans="1:10" ht="14">
      <c r="A235" s="284"/>
      <c r="B235" s="273" t="s">
        <v>117</v>
      </c>
      <c r="C235" s="580">
        <v>50.48789039918077</v>
      </c>
      <c r="D235" s="580">
        <v>51.462071117632092</v>
      </c>
      <c r="E235" s="580">
        <v>49.459313104438714</v>
      </c>
      <c r="F235" s="581">
        <v>55.495637386346679</v>
      </c>
      <c r="G235" s="203"/>
      <c r="H235" s="203"/>
      <c r="I235" s="203"/>
      <c r="J235" s="203"/>
    </row>
    <row r="236" spans="1:10" ht="14">
      <c r="A236" s="284"/>
      <c r="B236" s="273" t="s">
        <v>112</v>
      </c>
      <c r="C236" s="580">
        <v>13.22942161128336</v>
      </c>
      <c r="D236" s="580">
        <v>38.565485853954179</v>
      </c>
      <c r="E236" s="580">
        <v>52.720888811931381</v>
      </c>
      <c r="F236" s="581">
        <v>61.493754410777044</v>
      </c>
      <c r="G236" s="203"/>
      <c r="H236" s="203"/>
      <c r="I236" s="203"/>
      <c r="J236" s="203"/>
    </row>
    <row r="237" spans="1:10" ht="14">
      <c r="A237" s="284"/>
      <c r="B237" s="273" t="s">
        <v>113</v>
      </c>
      <c r="C237" s="580">
        <v>51.773984882532602</v>
      </c>
      <c r="D237" s="580">
        <v>47.127858254693749</v>
      </c>
      <c r="E237" s="580">
        <v>45.586114709043173</v>
      </c>
      <c r="F237" s="581">
        <v>59.503707218820693</v>
      </c>
      <c r="G237" s="203"/>
      <c r="H237" s="203"/>
      <c r="I237" s="203"/>
      <c r="J237" s="203"/>
    </row>
    <row r="238" spans="1:10" ht="14">
      <c r="A238" s="284"/>
      <c r="B238" s="273" t="s">
        <v>114</v>
      </c>
      <c r="C238" s="580">
        <v>52.573886340986739</v>
      </c>
      <c r="D238" s="580">
        <v>48.485904144804323</v>
      </c>
      <c r="E238" s="580">
        <v>51.530199334500537</v>
      </c>
      <c r="F238" s="581">
        <v>58.290430876919601</v>
      </c>
      <c r="G238" s="203"/>
      <c r="H238" s="203"/>
      <c r="I238" s="203"/>
      <c r="J238" s="203"/>
    </row>
    <row r="239" spans="1:10" ht="14">
      <c r="A239" s="239"/>
      <c r="B239" s="273" t="s">
        <v>115</v>
      </c>
      <c r="C239" s="580">
        <v>52.157864811330853</v>
      </c>
      <c r="D239" s="580">
        <v>52.404458170570443</v>
      </c>
      <c r="E239" s="580">
        <v>15.490058383262459</v>
      </c>
      <c r="F239" s="581">
        <v>52.646523512083341</v>
      </c>
      <c r="G239" s="203"/>
      <c r="H239" s="203"/>
      <c r="I239" s="203"/>
      <c r="J239" s="203"/>
    </row>
    <row r="240" spans="1:10" ht="14">
      <c r="A240" s="285"/>
      <c r="B240" s="274" t="s">
        <v>116</v>
      </c>
      <c r="C240" s="582">
        <v>44.822753996459753</v>
      </c>
      <c r="D240" s="588">
        <v>51.101866357323267</v>
      </c>
      <c r="E240" s="582">
        <v>51.811518157620917</v>
      </c>
      <c r="F240" s="582">
        <v>67.284592506211226</v>
      </c>
      <c r="G240" s="203"/>
      <c r="H240" s="203"/>
      <c r="I240" s="203"/>
      <c r="J240" s="203"/>
    </row>
    <row r="241" spans="1:10" ht="14">
      <c r="A241" s="238">
        <v>2022</v>
      </c>
      <c r="B241" s="272" t="s">
        <v>105</v>
      </c>
      <c r="C241" s="578">
        <v>53.481604715113548</v>
      </c>
      <c r="D241" s="578">
        <v>39.674243700316353</v>
      </c>
      <c r="E241" s="578">
        <v>49.331224492150518</v>
      </c>
      <c r="F241" s="578">
        <v>77.118584447267139</v>
      </c>
      <c r="G241" s="203"/>
      <c r="H241" s="203"/>
      <c r="I241" s="203"/>
      <c r="J241" s="203"/>
    </row>
    <row r="242" spans="1:10" ht="14">
      <c r="A242" s="239"/>
      <c r="B242" s="273" t="s">
        <v>106</v>
      </c>
      <c r="C242" s="580">
        <v>50.291396326162719</v>
      </c>
      <c r="D242" s="580">
        <v>51.49028918735803</v>
      </c>
      <c r="E242" s="580">
        <v>50.275557983524813</v>
      </c>
      <c r="F242" s="580">
        <v>74.9923442036811</v>
      </c>
      <c r="G242" s="203"/>
      <c r="H242" s="203"/>
      <c r="I242" s="203"/>
      <c r="J242" s="203"/>
    </row>
    <row r="243" spans="1:10" ht="14">
      <c r="A243" s="239"/>
      <c r="B243" s="273" t="s">
        <v>107</v>
      </c>
      <c r="C243" s="580">
        <v>53.542059712433883</v>
      </c>
      <c r="D243" s="580">
        <v>50.624087264968921</v>
      </c>
      <c r="E243" s="580">
        <v>85.471585140152925</v>
      </c>
      <c r="F243" s="580">
        <v>77.726113071513026</v>
      </c>
      <c r="G243" s="203"/>
      <c r="H243" s="203"/>
      <c r="I243" s="203"/>
      <c r="J243" s="203"/>
    </row>
    <row r="244" spans="1:10" ht="14">
      <c r="A244" s="239"/>
      <c r="B244" s="273" t="s">
        <v>108</v>
      </c>
      <c r="C244" s="580">
        <v>56.782340375368292</v>
      </c>
      <c r="D244" s="580">
        <v>53.129326601519288</v>
      </c>
      <c r="E244" s="580">
        <v>50.346470456002073</v>
      </c>
      <c r="F244" s="580">
        <v>76.023386656732342</v>
      </c>
      <c r="G244" s="203"/>
      <c r="H244" s="203"/>
      <c r="I244" s="203"/>
      <c r="J244" s="203"/>
    </row>
    <row r="245" spans="1:10" ht="14">
      <c r="A245" s="239"/>
      <c r="B245" s="273" t="s">
        <v>109</v>
      </c>
      <c r="C245" s="580">
        <v>49.176344913581147</v>
      </c>
      <c r="D245" s="580">
        <v>52.665312319198122</v>
      </c>
      <c r="E245" s="580">
        <v>52.375364049057602</v>
      </c>
      <c r="F245" s="580">
        <v>74.6224210346615</v>
      </c>
      <c r="G245" s="203"/>
      <c r="H245" s="203"/>
      <c r="I245" s="203"/>
      <c r="J245" s="203"/>
    </row>
    <row r="246" spans="1:10" ht="14">
      <c r="A246" s="239"/>
      <c r="B246" s="273" t="s">
        <v>110</v>
      </c>
      <c r="C246" s="580">
        <v>49.932711560269588</v>
      </c>
      <c r="D246" s="580">
        <v>59.710435679059557</v>
      </c>
      <c r="E246" s="580">
        <v>17.35839972004532</v>
      </c>
      <c r="F246" s="580">
        <v>49.809148400203803</v>
      </c>
      <c r="G246" s="203"/>
      <c r="H246" s="203"/>
      <c r="I246" s="203"/>
      <c r="J246" s="203"/>
    </row>
    <row r="247" spans="1:10" ht="14">
      <c r="A247" s="239"/>
      <c r="B247" s="273" t="s">
        <v>117</v>
      </c>
      <c r="C247" s="580">
        <v>47.639562643891367</v>
      </c>
      <c r="D247" s="580">
        <v>52.613314518385003</v>
      </c>
      <c r="E247" s="580">
        <v>53.931007706220278</v>
      </c>
      <c r="F247" s="580">
        <v>51.408462360999287</v>
      </c>
      <c r="G247" s="203"/>
      <c r="H247" s="203"/>
      <c r="I247" s="203"/>
      <c r="J247" s="203"/>
    </row>
    <row r="248" spans="1:10" ht="14">
      <c r="A248" s="239"/>
      <c r="B248" s="273" t="s">
        <v>112</v>
      </c>
      <c r="C248" s="580">
        <v>51.658151391380031</v>
      </c>
      <c r="D248" s="580">
        <v>25.074079686978529</v>
      </c>
      <c r="E248" s="580">
        <v>15.46337477387959</v>
      </c>
      <c r="F248" s="580">
        <v>57.901484148225236</v>
      </c>
      <c r="G248" s="203"/>
      <c r="H248" s="203"/>
      <c r="I248" s="203"/>
      <c r="J248" s="203"/>
    </row>
    <row r="249" spans="1:10" ht="14">
      <c r="A249" s="239"/>
      <c r="B249" s="273" t="s">
        <v>113</v>
      </c>
      <c r="C249" s="580">
        <v>54.040166166111533</v>
      </c>
      <c r="D249" s="580">
        <v>69.633637771253575</v>
      </c>
      <c r="E249" s="580">
        <v>55.21243023667158</v>
      </c>
      <c r="F249" s="580">
        <v>70.726958162379319</v>
      </c>
      <c r="G249" s="203"/>
      <c r="H249" s="203"/>
      <c r="I249" s="203"/>
      <c r="J249" s="203"/>
    </row>
    <row r="250" spans="1:10" ht="14">
      <c r="A250" s="239"/>
      <c r="B250" s="273" t="s">
        <v>114</v>
      </c>
      <c r="C250" s="580">
        <v>54.898414188703732</v>
      </c>
      <c r="D250" s="580">
        <v>49.821953309628363</v>
      </c>
      <c r="E250" s="580">
        <v>61.116641485271167</v>
      </c>
      <c r="F250" s="580">
        <v>69.437547585021576</v>
      </c>
      <c r="G250" s="203"/>
      <c r="H250" s="203"/>
      <c r="I250" s="203"/>
      <c r="J250" s="203"/>
    </row>
    <row r="251" spans="1:10" ht="14">
      <c r="A251" s="239"/>
      <c r="B251" s="273" t="s">
        <v>115</v>
      </c>
      <c r="C251" s="580">
        <v>50.425389546173882</v>
      </c>
      <c r="D251" s="580">
        <v>60.195710573435477</v>
      </c>
      <c r="E251" s="580">
        <v>53.626844915546343</v>
      </c>
      <c r="F251" s="580">
        <v>52.928558308995811</v>
      </c>
      <c r="G251" s="203"/>
      <c r="H251" s="203"/>
      <c r="I251" s="203"/>
      <c r="J251" s="203"/>
    </row>
    <row r="252" spans="1:10" ht="14">
      <c r="A252" s="240"/>
      <c r="B252" s="274" t="s">
        <v>116</v>
      </c>
      <c r="C252" s="582">
        <v>50.622290583367061</v>
      </c>
      <c r="D252" s="582">
        <v>47.998773959136088</v>
      </c>
      <c r="E252" s="582">
        <v>52.799212684462432</v>
      </c>
      <c r="F252" s="582">
        <v>50.330976719632979</v>
      </c>
      <c r="G252" s="203"/>
      <c r="H252" s="203"/>
      <c r="I252" s="203"/>
      <c r="J252" s="203"/>
    </row>
    <row r="253" spans="1:10" ht="14">
      <c r="A253" s="238">
        <v>2023</v>
      </c>
      <c r="B253" s="272" t="s">
        <v>105</v>
      </c>
      <c r="C253" s="578">
        <v>60.231189968546701</v>
      </c>
      <c r="D253" s="578">
        <v>51.346932245698603</v>
      </c>
      <c r="E253" s="578">
        <v>53.80034825665453</v>
      </c>
      <c r="F253" s="578">
        <v>51.714425967458531</v>
      </c>
      <c r="G253" s="203"/>
      <c r="H253" s="203"/>
      <c r="I253" s="203"/>
      <c r="J253" s="203"/>
    </row>
    <row r="254" spans="1:10" ht="14">
      <c r="A254" s="239"/>
      <c r="B254" s="273" t="s">
        <v>106</v>
      </c>
      <c r="C254" s="580">
        <v>59.177487220067057</v>
      </c>
      <c r="D254" s="580">
        <v>85.273617170770777</v>
      </c>
      <c r="E254" s="580">
        <v>62.40415520583224</v>
      </c>
      <c r="F254" s="580">
        <v>80.120784286823394</v>
      </c>
      <c r="G254" s="203"/>
      <c r="H254" s="203"/>
      <c r="I254" s="203"/>
      <c r="J254" s="203"/>
    </row>
    <row r="255" spans="1:10" ht="14">
      <c r="A255" s="239"/>
      <c r="B255" s="273" t="s">
        <v>107</v>
      </c>
      <c r="C255" s="580">
        <v>61.379306184688268</v>
      </c>
      <c r="D255" s="580">
        <v>52.51303173712968</v>
      </c>
      <c r="E255" s="580">
        <v>54.931864204460688</v>
      </c>
      <c r="F255" s="580">
        <v>54.332736250860307</v>
      </c>
      <c r="G255" s="203"/>
      <c r="H255" s="203"/>
      <c r="I255" s="203"/>
      <c r="J255" s="203"/>
    </row>
    <row r="256" spans="1:10" ht="14">
      <c r="A256" s="239"/>
      <c r="B256" s="273" t="s">
        <v>108</v>
      </c>
      <c r="C256" s="580">
        <v>53.302916289321807</v>
      </c>
      <c r="D256" s="580">
        <v>51.170198553435981</v>
      </c>
      <c r="E256" s="580">
        <v>50.847884450407072</v>
      </c>
      <c r="F256" s="580">
        <v>54.283351955240747</v>
      </c>
      <c r="G256" s="203"/>
      <c r="H256" s="203"/>
      <c r="I256" s="203"/>
      <c r="J256" s="203"/>
    </row>
    <row r="257" spans="1:10" ht="14">
      <c r="A257" s="239"/>
      <c r="B257" s="273" t="s">
        <v>109</v>
      </c>
      <c r="C257" s="580">
        <v>51.075166362858859</v>
      </c>
      <c r="D257" s="580">
        <v>51.346799470496379</v>
      </c>
      <c r="E257" s="580">
        <v>55.956024843471774</v>
      </c>
      <c r="F257" s="580">
        <v>63.021771141889758</v>
      </c>
      <c r="G257" s="203"/>
      <c r="H257" s="203"/>
      <c r="I257" s="203"/>
      <c r="J257" s="203"/>
    </row>
    <row r="258" spans="1:10" ht="14">
      <c r="A258" s="239"/>
      <c r="B258" s="273" t="s">
        <v>110</v>
      </c>
      <c r="C258" s="580">
        <v>69.112737116468963</v>
      </c>
      <c r="D258" s="580">
        <v>51.464147622143031</v>
      </c>
      <c r="E258" s="580">
        <v>56.140502414564331</v>
      </c>
      <c r="F258" s="580">
        <v>54.063219977192773</v>
      </c>
      <c r="G258" s="203"/>
      <c r="H258" s="203"/>
      <c r="I258" s="203"/>
      <c r="J258" s="203"/>
    </row>
    <row r="259" spans="1:10" ht="14">
      <c r="A259" s="239"/>
      <c r="B259" s="273" t="s">
        <v>117</v>
      </c>
      <c r="C259" s="580">
        <v>49.197437751805907</v>
      </c>
      <c r="D259" s="580">
        <v>51.802943992028673</v>
      </c>
      <c r="E259" s="580">
        <v>50.554564256674112</v>
      </c>
      <c r="F259" s="580">
        <v>78.715486574492274</v>
      </c>
      <c r="G259" s="203"/>
      <c r="H259" s="203"/>
      <c r="I259" s="203"/>
      <c r="J259" s="203"/>
    </row>
    <row r="260" spans="1:10" ht="14">
      <c r="A260" s="239"/>
      <c r="B260" s="273" t="s">
        <v>112</v>
      </c>
      <c r="C260" s="580">
        <v>50.767734634719297</v>
      </c>
      <c r="D260" s="580">
        <v>50.123336640154221</v>
      </c>
      <c r="E260" s="580">
        <v>54.624056842958147</v>
      </c>
      <c r="F260" s="580">
        <v>52.900900740304451</v>
      </c>
      <c r="G260" s="203"/>
      <c r="H260" s="203"/>
      <c r="I260" s="203"/>
      <c r="J260" s="203"/>
    </row>
    <row r="261" spans="1:10" ht="14">
      <c r="A261" s="239"/>
      <c r="B261" s="273" t="s">
        <v>113</v>
      </c>
      <c r="C261" s="580">
        <v>52.555545631823414</v>
      </c>
      <c r="D261" s="580">
        <v>52.776180421179937</v>
      </c>
      <c r="E261" s="580">
        <v>68.29291830066289</v>
      </c>
      <c r="F261" s="580">
        <v>51.26922058076908</v>
      </c>
      <c r="G261" s="203"/>
      <c r="H261" s="203"/>
      <c r="I261" s="203"/>
      <c r="J261" s="203"/>
    </row>
    <row r="262" spans="1:10" ht="14">
      <c r="A262" s="239"/>
      <c r="B262" s="273" t="s">
        <v>114</v>
      </c>
      <c r="C262" s="580">
        <v>68.631220739438731</v>
      </c>
      <c r="D262" s="580">
        <v>50.084468274503841</v>
      </c>
      <c r="E262" s="580">
        <v>49.399388668284843</v>
      </c>
      <c r="F262" s="580">
        <v>58.203679975580158</v>
      </c>
      <c r="G262" s="203"/>
      <c r="H262" s="203"/>
      <c r="I262" s="203"/>
      <c r="J262" s="203"/>
    </row>
    <row r="263" spans="1:10" ht="14">
      <c r="A263" s="239"/>
      <c r="B263" s="273" t="s">
        <v>115</v>
      </c>
      <c r="C263" s="580">
        <v>50.25198442028875</v>
      </c>
      <c r="D263" s="580">
        <v>51.6086964909667</v>
      </c>
      <c r="E263" s="580">
        <v>50.370043034737847</v>
      </c>
      <c r="F263" s="580">
        <v>54.658333003315597</v>
      </c>
      <c r="G263" s="203"/>
      <c r="H263" s="203"/>
      <c r="I263" s="203"/>
      <c r="J263" s="203"/>
    </row>
    <row r="264" spans="1:10" ht="14">
      <c r="A264" s="240"/>
      <c r="B264" s="274" t="s">
        <v>116</v>
      </c>
      <c r="C264" s="582">
        <v>52.012212779042358</v>
      </c>
      <c r="D264" s="582">
        <v>50.657643452216568</v>
      </c>
      <c r="E264" s="582">
        <v>51.007973133362484</v>
      </c>
      <c r="F264" s="582">
        <v>52.804476663555441</v>
      </c>
      <c r="G264" s="203"/>
      <c r="H264" s="203"/>
      <c r="I264" s="203"/>
      <c r="J264" s="203"/>
    </row>
    <row r="265" spans="1:10" ht="14">
      <c r="A265" s="238">
        <v>2024</v>
      </c>
      <c r="B265" s="272" t="s">
        <v>105</v>
      </c>
      <c r="C265" s="578">
        <v>48.333977637641262</v>
      </c>
      <c r="D265" s="578">
        <v>51.758325595138402</v>
      </c>
      <c r="E265" s="578">
        <v>52.865090090293002</v>
      </c>
      <c r="F265" s="578">
        <v>53.331752267678191</v>
      </c>
      <c r="G265" s="203"/>
      <c r="H265" s="203"/>
      <c r="I265" s="203"/>
      <c r="J265" s="203"/>
    </row>
    <row r="266" spans="1:10" ht="14">
      <c r="A266" s="239"/>
      <c r="B266" s="273" t="s">
        <v>106</v>
      </c>
      <c r="C266" s="580">
        <v>52.14960545326467</v>
      </c>
      <c r="D266" s="580">
        <v>52.681991395677073</v>
      </c>
      <c r="E266" s="580">
        <v>55.420865629262082</v>
      </c>
      <c r="F266" s="580">
        <v>56.315756784678229</v>
      </c>
      <c r="G266" s="203"/>
      <c r="H266" s="203"/>
      <c r="I266" s="203"/>
      <c r="J266" s="203"/>
    </row>
    <row r="267" spans="1:10" ht="14">
      <c r="A267" s="239"/>
      <c r="B267" s="273" t="s">
        <v>107</v>
      </c>
      <c r="C267" s="580">
        <v>58.181575382266907</v>
      </c>
      <c r="D267" s="580">
        <v>52.710653649819868</v>
      </c>
      <c r="E267" s="580">
        <v>87.686280467836667</v>
      </c>
      <c r="F267" s="580">
        <v>60.32803963989695</v>
      </c>
      <c r="G267" s="203"/>
      <c r="H267" s="203"/>
      <c r="I267" s="203"/>
      <c r="J267" s="203"/>
    </row>
    <row r="268" spans="1:10" ht="14">
      <c r="A268" s="239"/>
      <c r="B268" s="273" t="s">
        <v>108</v>
      </c>
      <c r="C268" s="598">
        <v>58.51914912241751</v>
      </c>
      <c r="D268" s="598">
        <v>51.500472394703067</v>
      </c>
      <c r="E268" s="598">
        <v>53.761198156394407</v>
      </c>
      <c r="F268" s="598">
        <v>61.570022455798338</v>
      </c>
      <c r="G268" s="203"/>
      <c r="H268" s="203"/>
      <c r="I268" s="203"/>
      <c r="J268" s="203"/>
    </row>
    <row r="269" spans="1:10" ht="14">
      <c r="A269" s="239"/>
      <c r="B269" s="273" t="s">
        <v>109</v>
      </c>
      <c r="C269" s="580">
        <v>58.345648367322028</v>
      </c>
      <c r="D269" s="580">
        <v>51.945140367436757</v>
      </c>
      <c r="E269" s="580">
        <v>51.530998470578183</v>
      </c>
      <c r="F269" s="580">
        <v>58.106987495599647</v>
      </c>
      <c r="G269" s="203"/>
      <c r="H269" s="203"/>
      <c r="I269" s="203"/>
      <c r="J269" s="203"/>
    </row>
    <row r="270" spans="1:10" ht="14">
      <c r="A270" s="239"/>
      <c r="B270" s="273" t="s">
        <v>110</v>
      </c>
      <c r="C270" s="580">
        <v>50.33887308153048</v>
      </c>
      <c r="D270" s="580">
        <v>52.508435088338061</v>
      </c>
      <c r="E270" s="580">
        <v>50.804263972806133</v>
      </c>
      <c r="F270" s="580">
        <v>54.571362134169718</v>
      </c>
      <c r="G270" s="203"/>
      <c r="H270" s="203"/>
      <c r="I270" s="203"/>
      <c r="J270" s="203"/>
    </row>
    <row r="271" spans="1:10" ht="14">
      <c r="A271" s="239"/>
      <c r="B271" s="273" t="s">
        <v>117</v>
      </c>
      <c r="C271" s="580">
        <v>62.754981446594037</v>
      </c>
      <c r="D271" s="580">
        <v>51.031229451650781</v>
      </c>
      <c r="E271" s="580">
        <v>88.545071987630365</v>
      </c>
      <c r="F271" s="580">
        <v>56.605482332004662</v>
      </c>
      <c r="G271" s="203"/>
      <c r="H271" s="203"/>
      <c r="I271" s="203"/>
      <c r="J271" s="203"/>
    </row>
    <row r="272" spans="1:10" ht="14">
      <c r="A272" s="239"/>
      <c r="B272" s="273" t="s">
        <v>112</v>
      </c>
      <c r="C272" s="580">
        <v>58.229203771304519</v>
      </c>
      <c r="D272" s="580">
        <v>51.347084361689923</v>
      </c>
      <c r="E272" s="580">
        <v>50.76697492273351</v>
      </c>
      <c r="F272" s="580">
        <v>54.17417737660702</v>
      </c>
      <c r="G272" s="203"/>
      <c r="H272" s="203"/>
      <c r="I272" s="203"/>
      <c r="J272" s="203"/>
    </row>
    <row r="273" spans="1:10" ht="14">
      <c r="A273" s="239"/>
      <c r="B273" s="273" t="s">
        <v>113</v>
      </c>
      <c r="C273" s="580">
        <v>58.070603742197129</v>
      </c>
      <c r="D273" s="580">
        <v>51.590326369439268</v>
      </c>
      <c r="E273" s="580">
        <v>50.37587277866556</v>
      </c>
      <c r="F273" s="580">
        <v>53.314772141904179</v>
      </c>
      <c r="G273" s="203"/>
      <c r="H273" s="203"/>
      <c r="I273" s="203"/>
      <c r="J273" s="203"/>
    </row>
    <row r="274" spans="1:10" ht="14">
      <c r="A274" s="239"/>
      <c r="B274" s="273" t="s">
        <v>114</v>
      </c>
      <c r="C274" s="580">
        <v>51.243004919919677</v>
      </c>
      <c r="D274" s="580">
        <v>51.09029983777905</v>
      </c>
      <c r="E274" s="580">
        <v>51.649165319477007</v>
      </c>
      <c r="F274" s="580">
        <v>51.589310130193731</v>
      </c>
      <c r="G274" s="203"/>
      <c r="H274" s="203"/>
      <c r="I274" s="203"/>
      <c r="J274" s="203"/>
    </row>
    <row r="275" spans="1:10" ht="14">
      <c r="A275" s="239"/>
      <c r="B275" s="273" t="s">
        <v>115</v>
      </c>
      <c r="C275" s="580">
        <v>48.158577257232047</v>
      </c>
      <c r="D275" s="580">
        <v>61.646566365068367</v>
      </c>
      <c r="E275" s="580">
        <v>51.588110388608271</v>
      </c>
      <c r="F275" s="580">
        <v>53.306665707492471</v>
      </c>
      <c r="G275" s="203"/>
      <c r="H275" s="203"/>
      <c r="I275" s="203"/>
      <c r="J275" s="203"/>
    </row>
    <row r="276" spans="1:10" ht="14">
      <c r="A276" s="240"/>
      <c r="B276" s="274" t="s">
        <v>116</v>
      </c>
      <c r="C276" s="582">
        <v>50.897996571111022</v>
      </c>
      <c r="D276" s="582">
        <v>52.114532728014389</v>
      </c>
      <c r="E276" s="582">
        <v>50.424231082546257</v>
      </c>
      <c r="F276" s="582">
        <v>53.698530239326203</v>
      </c>
      <c r="G276" s="203"/>
      <c r="H276" s="203"/>
      <c r="I276" s="203"/>
      <c r="J276" s="203"/>
    </row>
    <row r="277" spans="1:10" ht="14">
      <c r="A277" s="238">
        <v>2025</v>
      </c>
      <c r="B277" s="272" t="s">
        <v>105</v>
      </c>
      <c r="C277" s="578">
        <v>50.827285911090073</v>
      </c>
      <c r="D277" s="578">
        <v>51.277597116570888</v>
      </c>
      <c r="E277" s="578">
        <v>51.544035081261207</v>
      </c>
      <c r="F277" s="578">
        <v>57.400981535286888</v>
      </c>
      <c r="G277" s="203"/>
      <c r="H277" s="203"/>
      <c r="I277" s="203"/>
      <c r="J277" s="203"/>
    </row>
    <row r="278" spans="1:10" ht="14">
      <c r="A278" s="239"/>
      <c r="B278" s="273" t="s">
        <v>106</v>
      </c>
      <c r="C278" s="580">
        <v>59.686209631300862</v>
      </c>
      <c r="D278" s="580">
        <v>62.85136639415181</v>
      </c>
      <c r="E278" s="580">
        <v>52.007848764983493</v>
      </c>
      <c r="F278" s="580">
        <v>56.201523741261717</v>
      </c>
      <c r="G278" s="203"/>
      <c r="H278" s="203"/>
      <c r="I278" s="203"/>
      <c r="J278" s="203"/>
    </row>
    <row r="279" spans="1:10" ht="14">
      <c r="A279" s="239"/>
      <c r="B279" s="273" t="s">
        <v>107</v>
      </c>
      <c r="C279" s="580">
        <v>58.459530477617378</v>
      </c>
      <c r="D279" s="580">
        <v>52.737425483788357</v>
      </c>
      <c r="E279" s="580">
        <v>75.948307405703062</v>
      </c>
      <c r="F279" s="580">
        <v>56.969720461219801</v>
      </c>
      <c r="G279" s="203"/>
      <c r="H279" s="203"/>
      <c r="I279" s="203"/>
      <c r="J279" s="203"/>
    </row>
    <row r="280" spans="1:10" ht="14">
      <c r="A280" s="239"/>
      <c r="B280" s="273" t="s">
        <v>108</v>
      </c>
      <c r="C280" s="580">
        <v>50.382158519775253</v>
      </c>
      <c r="D280" s="580">
        <v>52.058950109684062</v>
      </c>
      <c r="E280" s="580">
        <v>61.589450936787998</v>
      </c>
      <c r="F280" s="580">
        <v>58.694202875151262</v>
      </c>
      <c r="G280" s="203"/>
      <c r="H280" s="203"/>
      <c r="I280" s="203"/>
      <c r="J280" s="203"/>
    </row>
    <row r="281" spans="1:10" ht="14">
      <c r="A281" s="239"/>
      <c r="B281" s="273" t="s">
        <v>109</v>
      </c>
      <c r="C281" s="580">
        <v>49.823716565866206</v>
      </c>
      <c r="D281" s="580">
        <v>62.038475197133707</v>
      </c>
      <c r="E281" s="580">
        <v>58.431481002758908</v>
      </c>
      <c r="F281" s="580">
        <v>52.863365082593937</v>
      </c>
      <c r="G281" s="203"/>
      <c r="H281" s="203"/>
      <c r="I281" s="203"/>
      <c r="J281" s="203"/>
    </row>
    <row r="282" spans="1:10" ht="14">
      <c r="A282" s="239"/>
      <c r="B282" s="273" t="s">
        <v>110</v>
      </c>
      <c r="C282" s="594">
        <v>50.736415046688258</v>
      </c>
      <c r="D282" s="594">
        <v>51.962547824038502</v>
      </c>
      <c r="E282" s="594">
        <v>62.810429227382947</v>
      </c>
      <c r="F282" s="594">
        <v>72.495791086062724</v>
      </c>
      <c r="G282" s="203"/>
      <c r="H282" s="203"/>
      <c r="I282" s="203"/>
      <c r="J282" s="203"/>
    </row>
    <row r="283" spans="1:10" ht="14">
      <c r="A283" s="239"/>
      <c r="B283" s="273" t="s">
        <v>117</v>
      </c>
      <c r="C283" s="594">
        <v>61.491051496305928</v>
      </c>
      <c r="D283" s="594">
        <v>51.888131029070401</v>
      </c>
      <c r="E283" s="594">
        <v>61.081301942704869</v>
      </c>
      <c r="F283" s="594">
        <v>71.812756448602471</v>
      </c>
      <c r="G283" s="203"/>
      <c r="H283" s="203"/>
      <c r="I283" s="203"/>
      <c r="J283" s="203"/>
    </row>
    <row r="284" spans="1:10" ht="14">
      <c r="A284" s="239"/>
      <c r="B284" s="273" t="s">
        <v>112</v>
      </c>
      <c r="C284" s="594">
        <v>44.462257866791177</v>
      </c>
      <c r="D284" s="594">
        <v>50.543056998169703</v>
      </c>
      <c r="E284" s="594">
        <v>50.937571607937777</v>
      </c>
      <c r="F284" s="594">
        <v>73.617228213571508</v>
      </c>
      <c r="G284" s="203"/>
      <c r="H284" s="203"/>
      <c r="I284" s="203"/>
      <c r="J284" s="203"/>
    </row>
    <row r="285" spans="1:10" ht="14">
      <c r="A285" s="239"/>
      <c r="B285" s="273" t="s">
        <v>113</v>
      </c>
      <c r="C285" s="594">
        <v>50.205138737447278</v>
      </c>
      <c r="D285" s="594">
        <v>51.997209632503427</v>
      </c>
      <c r="E285" s="594">
        <v>51.289695999137621</v>
      </c>
      <c r="F285" s="594">
        <v>75.895306896908153</v>
      </c>
      <c r="G285" s="203"/>
      <c r="H285" s="203"/>
      <c r="I285" s="203"/>
      <c r="J285" s="203"/>
    </row>
    <row r="286" spans="1:10" ht="14">
      <c r="A286" s="239"/>
      <c r="B286" s="273" t="s">
        <v>114</v>
      </c>
      <c r="C286" s="594">
        <v>43.892616078945807</v>
      </c>
      <c r="D286" s="594">
        <v>51.613901420882932</v>
      </c>
      <c r="E286" s="594">
        <v>50.67602977484615</v>
      </c>
      <c r="F286" s="594">
        <v>82.909977876606845</v>
      </c>
      <c r="G286" s="203"/>
      <c r="H286" s="203"/>
      <c r="I286" s="203"/>
      <c r="J286" s="203"/>
    </row>
    <row r="287" spans="1:10" ht="14">
      <c r="A287" s="239"/>
      <c r="B287" s="273" t="s">
        <v>115</v>
      </c>
      <c r="C287" s="594">
        <v>63.183096460598463</v>
      </c>
      <c r="D287" s="594">
        <v>52.168427921118173</v>
      </c>
      <c r="E287" s="594">
        <v>50.262049877527879</v>
      </c>
      <c r="F287" s="594">
        <v>71.573085579763955</v>
      </c>
      <c r="G287" s="203"/>
      <c r="H287" s="203"/>
      <c r="I287" s="203"/>
      <c r="J287" s="203"/>
    </row>
    <row r="288" spans="1:10" ht="14">
      <c r="A288" s="240"/>
      <c r="B288" s="274" t="s">
        <v>116</v>
      </c>
      <c r="C288" s="595">
        <v>56.827496565571742</v>
      </c>
      <c r="D288" s="595">
        <v>62.642126980748941</v>
      </c>
      <c r="E288" s="595">
        <v>65.01472823391309</v>
      </c>
      <c r="F288" s="595">
        <v>80.030798606613118</v>
      </c>
      <c r="G288" s="203"/>
      <c r="H288" s="203"/>
      <c r="I288" s="203"/>
      <c r="J288" s="203"/>
    </row>
    <row r="289" spans="1:10" ht="14">
      <c r="A289" s="238">
        <v>2026</v>
      </c>
      <c r="B289" s="272" t="s">
        <v>105</v>
      </c>
      <c r="C289" s="686">
        <v>58.745407566903843</v>
      </c>
      <c r="D289" s="686">
        <v>51.189796178745262</v>
      </c>
      <c r="E289" s="686">
        <v>51.702069953153341</v>
      </c>
      <c r="F289" s="686">
        <v>73.159190538900987</v>
      </c>
      <c r="G289" s="203"/>
      <c r="H289" s="203"/>
      <c r="I289" s="203"/>
      <c r="J289" s="203"/>
    </row>
    <row r="290" spans="1:10" ht="14">
      <c r="A290" s="239"/>
      <c r="B290" s="273" t="s">
        <v>106</v>
      </c>
      <c r="C290" s="594">
        <v>58.218784422127818</v>
      </c>
      <c r="D290" s="594">
        <v>51.106986309799431</v>
      </c>
      <c r="E290" s="594">
        <v>75.869678075025348</v>
      </c>
      <c r="F290" s="594">
        <v>67.510070653141938</v>
      </c>
      <c r="G290" s="203"/>
      <c r="H290" s="203"/>
      <c r="I290" s="203"/>
      <c r="J290" s="203"/>
    </row>
    <row r="291" spans="1:10" ht="14">
      <c r="A291" s="240"/>
      <c r="B291" s="274" t="s">
        <v>107</v>
      </c>
      <c r="C291" s="595">
        <v>51.338754555772461</v>
      </c>
      <c r="D291" s="595">
        <v>50.344022621594192</v>
      </c>
      <c r="E291" s="595">
        <v>48.465401520604367</v>
      </c>
      <c r="F291" s="595">
        <v>81.430578296673588</v>
      </c>
      <c r="G291" s="203"/>
      <c r="H291" s="203"/>
      <c r="I291" s="203"/>
      <c r="J291" s="203"/>
    </row>
    <row r="292" spans="1:10">
      <c r="G292" s="203"/>
      <c r="H292" s="203"/>
      <c r="I292" s="203"/>
      <c r="J292" s="203"/>
    </row>
    <row r="293" spans="1:10" ht="14">
      <c r="A293" s="823" t="s">
        <v>366</v>
      </c>
      <c r="B293" s="823"/>
      <c r="C293" s="823"/>
      <c r="D293" s="823"/>
      <c r="E293" s="823"/>
      <c r="F293" s="823"/>
      <c r="G293" s="203"/>
      <c r="H293" s="203"/>
      <c r="I293" s="203"/>
      <c r="J293" s="203"/>
    </row>
    <row r="294" spans="1:10" ht="14">
      <c r="A294" s="833" t="s">
        <v>98</v>
      </c>
      <c r="B294" s="834"/>
      <c r="C294" s="837" t="s">
        <v>358</v>
      </c>
      <c r="D294" s="838"/>
      <c r="E294" s="838"/>
      <c r="F294" s="839"/>
      <c r="G294" s="203"/>
      <c r="H294" s="203"/>
      <c r="I294" s="203"/>
      <c r="J294" s="203"/>
    </row>
    <row r="295" spans="1:10" ht="45" customHeight="1">
      <c r="A295" s="835"/>
      <c r="B295" s="836"/>
      <c r="C295" s="599" t="s">
        <v>359</v>
      </c>
      <c r="D295" s="599" t="s">
        <v>360</v>
      </c>
      <c r="E295" s="599" t="s">
        <v>361</v>
      </c>
      <c r="F295" s="600" t="s">
        <v>362</v>
      </c>
      <c r="G295" s="203"/>
      <c r="H295" s="203"/>
      <c r="I295" s="203"/>
      <c r="J295" s="203"/>
    </row>
    <row r="296" spans="1:10" ht="14">
      <c r="A296" s="238">
        <v>2020</v>
      </c>
      <c r="B296" s="247" t="s">
        <v>112</v>
      </c>
      <c r="C296" s="578">
        <v>62.427042454617023</v>
      </c>
      <c r="D296" s="578">
        <v>56.070302494907423</v>
      </c>
      <c r="E296" s="578">
        <v>63.664574595739239</v>
      </c>
      <c r="F296" s="579">
        <v>64.028789941928864</v>
      </c>
      <c r="G296" s="203"/>
      <c r="H296" s="203"/>
      <c r="I296" s="203"/>
      <c r="J296" s="203"/>
    </row>
    <row r="297" spans="1:10" ht="14">
      <c r="A297" s="239"/>
      <c r="B297" s="273" t="s">
        <v>113</v>
      </c>
      <c r="C297" s="580">
        <v>73.919200224670718</v>
      </c>
      <c r="D297" s="580">
        <v>51.365973661433493</v>
      </c>
      <c r="E297" s="580">
        <v>56.509711689308247</v>
      </c>
      <c r="F297" s="581">
        <v>76.973716087102872</v>
      </c>
      <c r="G297" s="203"/>
      <c r="H297" s="203"/>
      <c r="I297" s="203"/>
      <c r="J297" s="203"/>
    </row>
    <row r="298" spans="1:10" ht="14">
      <c r="A298" s="239"/>
      <c r="B298" s="273" t="s">
        <v>114</v>
      </c>
      <c r="C298" s="580">
        <v>73.839162784155491</v>
      </c>
      <c r="D298" s="580">
        <v>51.807016412449627</v>
      </c>
      <c r="E298" s="580">
        <v>57.057037042202211</v>
      </c>
      <c r="F298" s="581">
        <v>82.808353725614012</v>
      </c>
      <c r="G298" s="203"/>
      <c r="H298" s="203"/>
      <c r="I298" s="203"/>
      <c r="J298" s="203"/>
    </row>
    <row r="299" spans="1:10" ht="14">
      <c r="A299" s="239"/>
      <c r="B299" s="273" t="s">
        <v>115</v>
      </c>
      <c r="C299" s="580">
        <v>67.529385185000422</v>
      </c>
      <c r="D299" s="580">
        <v>51.749492456769723</v>
      </c>
      <c r="E299" s="580">
        <v>58.694456177865767</v>
      </c>
      <c r="F299" s="581">
        <v>80.050515546863465</v>
      </c>
      <c r="G299" s="203"/>
      <c r="H299" s="203"/>
      <c r="I299" s="203"/>
      <c r="J299" s="203"/>
    </row>
    <row r="300" spans="1:10" ht="14">
      <c r="A300" s="239"/>
      <c r="B300" s="274" t="s">
        <v>116</v>
      </c>
      <c r="C300" s="582">
        <v>66.487063697271296</v>
      </c>
      <c r="D300" s="582">
        <v>51.561970460974251</v>
      </c>
      <c r="E300" s="582">
        <v>55.910734703887599</v>
      </c>
      <c r="F300" s="583">
        <v>79.484165817512121</v>
      </c>
      <c r="G300" s="203"/>
      <c r="H300" s="203"/>
      <c r="I300" s="203"/>
      <c r="J300" s="203"/>
    </row>
    <row r="301" spans="1:10" ht="14">
      <c r="A301" s="597">
        <v>2021</v>
      </c>
      <c r="B301" s="272" t="s">
        <v>105</v>
      </c>
      <c r="C301" s="578">
        <v>54.367417277280822</v>
      </c>
      <c r="D301" s="578">
        <v>66.861740832958517</v>
      </c>
      <c r="E301" s="578">
        <v>72.020394541481863</v>
      </c>
      <c r="F301" s="579">
        <v>64.152508307850283</v>
      </c>
      <c r="G301" s="203"/>
      <c r="H301" s="203"/>
      <c r="I301" s="203"/>
      <c r="J301" s="203"/>
    </row>
    <row r="302" spans="1:10" ht="14">
      <c r="A302" s="284"/>
      <c r="B302" s="273" t="s">
        <v>106</v>
      </c>
      <c r="C302" s="580">
        <v>54.371575120480237</v>
      </c>
      <c r="D302" s="580">
        <v>86.53365044436751</v>
      </c>
      <c r="E302" s="580">
        <v>58.299660116567559</v>
      </c>
      <c r="F302" s="581">
        <v>52.82284080437158</v>
      </c>
      <c r="G302" s="203"/>
      <c r="H302" s="203"/>
      <c r="I302" s="203"/>
      <c r="J302" s="203"/>
    </row>
    <row r="303" spans="1:10" ht="14">
      <c r="A303" s="284"/>
      <c r="B303" s="273" t="s">
        <v>107</v>
      </c>
      <c r="C303" s="580">
        <v>54.305101866099037</v>
      </c>
      <c r="D303" s="580">
        <v>54.911503616011721</v>
      </c>
      <c r="E303" s="580">
        <v>71.404527773729583</v>
      </c>
      <c r="F303" s="581">
        <v>80.228593692527426</v>
      </c>
      <c r="G303" s="203"/>
      <c r="H303" s="203"/>
      <c r="I303" s="203"/>
      <c r="J303" s="203"/>
    </row>
    <row r="304" spans="1:10" ht="14">
      <c r="A304" s="284"/>
      <c r="B304" s="273" t="s">
        <v>108</v>
      </c>
      <c r="C304" s="580">
        <v>48.274359258313808</v>
      </c>
      <c r="D304" s="580">
        <v>67.70907647599455</v>
      </c>
      <c r="E304" s="580">
        <v>55.384678459180321</v>
      </c>
      <c r="F304" s="581">
        <v>59.82285526900661</v>
      </c>
      <c r="G304" s="203"/>
      <c r="H304" s="203"/>
      <c r="I304" s="203"/>
      <c r="J304" s="203"/>
    </row>
    <row r="305" spans="1:10" ht="14">
      <c r="A305" s="284"/>
      <c r="B305" s="273" t="s">
        <v>109</v>
      </c>
      <c r="C305" s="580">
        <v>52.543007860419593</v>
      </c>
      <c r="D305" s="580">
        <v>53.698622213707793</v>
      </c>
      <c r="E305" s="580">
        <v>61.259957209419667</v>
      </c>
      <c r="F305" s="581">
        <v>67.894696858986634</v>
      </c>
      <c r="G305" s="203"/>
      <c r="H305" s="203"/>
      <c r="I305" s="203"/>
      <c r="J305" s="203"/>
    </row>
    <row r="306" spans="1:10" ht="14">
      <c r="A306" s="284"/>
      <c r="B306" s="273" t="s">
        <v>110</v>
      </c>
      <c r="C306" s="580">
        <v>54.617782570664033</v>
      </c>
      <c r="D306" s="580">
        <v>52.620355686616477</v>
      </c>
      <c r="E306" s="580">
        <v>51.517530899081798</v>
      </c>
      <c r="F306" s="581">
        <v>62.230593808581837</v>
      </c>
      <c r="G306" s="203"/>
      <c r="H306" s="203"/>
      <c r="I306" s="203"/>
      <c r="J306" s="203"/>
    </row>
    <row r="307" spans="1:10" ht="14">
      <c r="A307" s="284"/>
      <c r="B307" s="273" t="s">
        <v>117</v>
      </c>
      <c r="C307" s="580">
        <v>50.356960979285027</v>
      </c>
      <c r="D307" s="580">
        <v>52.089855993463154</v>
      </c>
      <c r="E307" s="580">
        <v>64.127977130752015</v>
      </c>
      <c r="F307" s="581">
        <v>83.816211990813485</v>
      </c>
      <c r="G307" s="203"/>
      <c r="H307" s="203"/>
      <c r="I307" s="203"/>
      <c r="J307" s="203"/>
    </row>
    <row r="308" spans="1:10" ht="14">
      <c r="A308" s="284"/>
      <c r="B308" s="273" t="s">
        <v>112</v>
      </c>
      <c r="C308" s="580">
        <v>14.70657020227638</v>
      </c>
      <c r="D308" s="580">
        <v>40.216915403201867</v>
      </c>
      <c r="E308" s="580">
        <v>49.07706996831191</v>
      </c>
      <c r="F308" s="581">
        <v>78.031928633387651</v>
      </c>
      <c r="G308" s="203"/>
      <c r="H308" s="203"/>
      <c r="I308" s="203"/>
      <c r="J308" s="203"/>
    </row>
    <row r="309" spans="1:10" ht="14">
      <c r="A309" s="284"/>
      <c r="B309" s="273" t="s">
        <v>113</v>
      </c>
      <c r="C309" s="580">
        <v>53.02133856793872</v>
      </c>
      <c r="D309" s="580">
        <v>49.785262855807851</v>
      </c>
      <c r="E309" s="580">
        <v>46.994647051035649</v>
      </c>
      <c r="F309" s="581">
        <v>75.678480756870911</v>
      </c>
      <c r="G309" s="203"/>
      <c r="H309" s="203"/>
      <c r="I309" s="203"/>
      <c r="J309" s="203"/>
    </row>
    <row r="310" spans="1:10" ht="14">
      <c r="A310" s="284"/>
      <c r="B310" s="273" t="s">
        <v>114</v>
      </c>
      <c r="C310" s="580">
        <v>51.16144622477357</v>
      </c>
      <c r="D310" s="580">
        <v>56.430650981951338</v>
      </c>
      <c r="E310" s="580">
        <v>52.516299972337507</v>
      </c>
      <c r="F310" s="581">
        <v>71.241336651633972</v>
      </c>
      <c r="G310" s="203"/>
      <c r="H310" s="203"/>
      <c r="I310" s="203"/>
      <c r="J310" s="203"/>
    </row>
    <row r="311" spans="1:10" ht="14">
      <c r="A311" s="239"/>
      <c r="B311" s="273" t="s">
        <v>115</v>
      </c>
      <c r="C311" s="580">
        <v>55.200357489854987</v>
      </c>
      <c r="D311" s="580">
        <v>50.867666917327583</v>
      </c>
      <c r="E311" s="580">
        <v>14.535381261335271</v>
      </c>
      <c r="F311" s="581">
        <v>80.297059155901835</v>
      </c>
      <c r="G311" s="203"/>
      <c r="H311" s="203"/>
      <c r="I311" s="203"/>
      <c r="J311" s="203"/>
    </row>
    <row r="312" spans="1:10" ht="14">
      <c r="A312" s="285"/>
      <c r="B312" s="274" t="s">
        <v>116</v>
      </c>
      <c r="C312" s="582">
        <v>47.942683196420212</v>
      </c>
      <c r="D312" s="588">
        <v>53.774456081237147</v>
      </c>
      <c r="E312" s="582">
        <v>58.581327679078463</v>
      </c>
      <c r="F312" s="582">
        <v>79.488302521700945</v>
      </c>
      <c r="G312" s="203"/>
      <c r="H312" s="203"/>
      <c r="I312" s="203"/>
      <c r="J312" s="203"/>
    </row>
    <row r="313" spans="1:10" ht="14">
      <c r="A313" s="238">
        <v>2022</v>
      </c>
      <c r="B313" s="272" t="s">
        <v>105</v>
      </c>
      <c r="C313" s="578">
        <v>18.09118305936531</v>
      </c>
      <c r="D313" s="578">
        <v>38.664086262709468</v>
      </c>
      <c r="E313" s="578">
        <v>53.86032082968589</v>
      </c>
      <c r="F313" s="578">
        <v>68.484852354615668</v>
      </c>
      <c r="G313" s="203"/>
      <c r="H313" s="203"/>
      <c r="I313" s="203"/>
      <c r="J313" s="203"/>
    </row>
    <row r="314" spans="1:10" ht="14">
      <c r="A314" s="239"/>
      <c r="B314" s="273" t="s">
        <v>106</v>
      </c>
      <c r="C314" s="580">
        <v>50.605027140607213</v>
      </c>
      <c r="D314" s="580">
        <v>55.610547284333158</v>
      </c>
      <c r="E314" s="580">
        <v>51.407164511967572</v>
      </c>
      <c r="F314" s="580">
        <v>89.120434157294653</v>
      </c>
      <c r="G314" s="203"/>
      <c r="H314" s="203"/>
      <c r="I314" s="203"/>
      <c r="J314" s="203"/>
    </row>
    <row r="315" spans="1:10" ht="14">
      <c r="A315" s="239"/>
      <c r="B315" s="273" t="s">
        <v>107</v>
      </c>
      <c r="C315" s="580">
        <v>54.518069752932547</v>
      </c>
      <c r="D315" s="580">
        <v>59.320943075257823</v>
      </c>
      <c r="E315" s="580">
        <v>50.834908702275577</v>
      </c>
      <c r="F315" s="580">
        <v>54.940365051179967</v>
      </c>
      <c r="G315" s="203"/>
      <c r="H315" s="203"/>
      <c r="I315" s="203"/>
      <c r="J315" s="203"/>
    </row>
    <row r="316" spans="1:10" ht="14">
      <c r="A316" s="239"/>
      <c r="B316" s="273" t="s">
        <v>108</v>
      </c>
      <c r="C316" s="580">
        <v>64.375022251939995</v>
      </c>
      <c r="D316" s="580">
        <v>62.81927518562555</v>
      </c>
      <c r="E316" s="580">
        <v>52.706652302466352</v>
      </c>
      <c r="F316" s="580">
        <v>56.99973778628982</v>
      </c>
      <c r="G316" s="203"/>
      <c r="H316" s="203"/>
      <c r="I316" s="203"/>
      <c r="J316" s="203"/>
    </row>
    <row r="317" spans="1:10" ht="14">
      <c r="A317" s="239"/>
      <c r="B317" s="273" t="s">
        <v>109</v>
      </c>
      <c r="C317" s="580">
        <v>49.582555219393548</v>
      </c>
      <c r="D317" s="580">
        <v>53.485132072362752</v>
      </c>
      <c r="E317" s="580">
        <v>53.539109683850327</v>
      </c>
      <c r="F317" s="580">
        <v>69.785631307675644</v>
      </c>
      <c r="G317" s="203"/>
      <c r="H317" s="203"/>
      <c r="I317" s="203"/>
      <c r="J317" s="203"/>
    </row>
    <row r="318" spans="1:10" ht="14">
      <c r="A318" s="239"/>
      <c r="B318" s="273" t="s">
        <v>110</v>
      </c>
      <c r="C318" s="580">
        <v>54.091701330825039</v>
      </c>
      <c r="D318" s="580">
        <v>60.502177357556967</v>
      </c>
      <c r="E318" s="580">
        <v>18.710268649489731</v>
      </c>
      <c r="F318" s="580">
        <v>81.888203862529053</v>
      </c>
      <c r="G318" s="203"/>
      <c r="H318" s="203"/>
      <c r="I318" s="203"/>
      <c r="J318" s="203"/>
    </row>
    <row r="319" spans="1:10" ht="14">
      <c r="A319" s="239"/>
      <c r="B319" s="273" t="s">
        <v>117</v>
      </c>
      <c r="C319" s="580">
        <v>50.023821297579033</v>
      </c>
      <c r="D319" s="580">
        <v>53.381277427991797</v>
      </c>
      <c r="E319" s="580">
        <v>52.263410705077597</v>
      </c>
      <c r="F319" s="580">
        <v>64.272749500260176</v>
      </c>
      <c r="G319" s="203"/>
      <c r="H319" s="203"/>
      <c r="I319" s="203"/>
      <c r="J319" s="203"/>
    </row>
    <row r="320" spans="1:10" ht="14">
      <c r="A320" s="239"/>
      <c r="B320" s="273" t="s">
        <v>112</v>
      </c>
      <c r="C320" s="580">
        <v>52.496072664701053</v>
      </c>
      <c r="D320" s="580">
        <v>54.296567662215473</v>
      </c>
      <c r="E320" s="580">
        <v>51.831255183364163</v>
      </c>
      <c r="F320" s="580">
        <v>85.49166541745754</v>
      </c>
      <c r="G320" s="203"/>
      <c r="H320" s="203"/>
      <c r="I320" s="203"/>
      <c r="J320" s="203"/>
    </row>
    <row r="321" spans="1:10" ht="14">
      <c r="A321" s="239"/>
      <c r="B321" s="273" t="s">
        <v>113</v>
      </c>
      <c r="C321" s="580">
        <v>50.986686957126111</v>
      </c>
      <c r="D321" s="580">
        <v>70.371866054395269</v>
      </c>
      <c r="E321" s="580">
        <v>52.308062219361489</v>
      </c>
      <c r="F321" s="580">
        <v>71.930394197366681</v>
      </c>
      <c r="G321" s="203"/>
      <c r="H321" s="203"/>
      <c r="I321" s="203"/>
      <c r="J321" s="203"/>
    </row>
    <row r="322" spans="1:10" ht="14">
      <c r="A322" s="239"/>
      <c r="B322" s="273" t="s">
        <v>114</v>
      </c>
      <c r="C322" s="580">
        <v>60.404857052762488</v>
      </c>
      <c r="D322" s="580">
        <v>51.354040298959298</v>
      </c>
      <c r="E322" s="580">
        <v>61.174740356991933</v>
      </c>
      <c r="F322" s="580">
        <v>70.785544245774147</v>
      </c>
      <c r="G322" s="203"/>
      <c r="H322" s="203"/>
      <c r="I322" s="203"/>
      <c r="J322" s="203"/>
    </row>
    <row r="323" spans="1:10" ht="14">
      <c r="A323" s="239"/>
      <c r="B323" s="273" t="s">
        <v>115</v>
      </c>
      <c r="C323" s="580">
        <v>50.895724592487753</v>
      </c>
      <c r="D323" s="580">
        <v>56.940419160358942</v>
      </c>
      <c r="E323" s="580">
        <v>58.324934267948407</v>
      </c>
      <c r="F323" s="580">
        <v>54.589711315263692</v>
      </c>
      <c r="G323" s="203"/>
      <c r="H323" s="203"/>
      <c r="I323" s="203"/>
      <c r="J323" s="203"/>
    </row>
    <row r="324" spans="1:10" ht="14">
      <c r="A324" s="240"/>
      <c r="B324" s="274" t="s">
        <v>116</v>
      </c>
      <c r="C324" s="582">
        <v>53.433313336781019</v>
      </c>
      <c r="D324" s="582">
        <v>51.078536842703983</v>
      </c>
      <c r="E324" s="582">
        <v>52.211558664580103</v>
      </c>
      <c r="F324" s="582">
        <v>79.664344885060956</v>
      </c>
      <c r="G324" s="203"/>
      <c r="H324" s="203"/>
      <c r="I324" s="203"/>
      <c r="J324" s="203"/>
    </row>
    <row r="325" spans="1:10" ht="14">
      <c r="A325" s="238">
        <v>2023</v>
      </c>
      <c r="B325" s="272" t="s">
        <v>105</v>
      </c>
      <c r="C325" s="578">
        <v>61.936899082557709</v>
      </c>
      <c r="D325" s="578">
        <v>53.05769568667354</v>
      </c>
      <c r="E325" s="578">
        <v>49.726725131251072</v>
      </c>
      <c r="F325" s="578">
        <v>85.11073171539276</v>
      </c>
      <c r="G325" s="203"/>
      <c r="H325" s="203"/>
      <c r="I325" s="203"/>
      <c r="J325" s="203"/>
    </row>
    <row r="326" spans="1:10" ht="14">
      <c r="A326" s="239"/>
      <c r="B326" s="273" t="s">
        <v>106</v>
      </c>
      <c r="C326" s="580">
        <v>67.656020820154566</v>
      </c>
      <c r="D326" s="580">
        <v>65.905322962835172</v>
      </c>
      <c r="E326" s="580">
        <v>55.226952247969223</v>
      </c>
      <c r="F326" s="580">
        <v>84.703948860897484</v>
      </c>
      <c r="G326" s="203"/>
      <c r="H326" s="203"/>
      <c r="I326" s="203"/>
      <c r="J326" s="203"/>
    </row>
    <row r="327" spans="1:10" ht="14">
      <c r="A327" s="239"/>
      <c r="B327" s="273" t="s">
        <v>107</v>
      </c>
      <c r="C327" s="580">
        <v>69.623444366935615</v>
      </c>
      <c r="D327" s="580">
        <v>53.584719751003362</v>
      </c>
      <c r="E327" s="580">
        <v>53.030650424794423</v>
      </c>
      <c r="F327" s="580">
        <v>66.611944733493132</v>
      </c>
      <c r="G327" s="203"/>
      <c r="H327" s="203"/>
      <c r="I327" s="203"/>
      <c r="J327" s="203"/>
    </row>
    <row r="328" spans="1:10" ht="14">
      <c r="A328" s="239"/>
      <c r="B328" s="273" t="s">
        <v>108</v>
      </c>
      <c r="C328" s="580">
        <v>70.505384946631324</v>
      </c>
      <c r="D328" s="580">
        <v>64.331019072725866</v>
      </c>
      <c r="E328" s="580">
        <v>51.990419863874692</v>
      </c>
      <c r="F328" s="580">
        <v>62.762223612722927</v>
      </c>
      <c r="G328" s="203"/>
      <c r="H328" s="203"/>
      <c r="I328" s="203"/>
      <c r="J328" s="203"/>
    </row>
    <row r="329" spans="1:10" ht="14">
      <c r="A329" s="239"/>
      <c r="B329" s="273" t="s">
        <v>109</v>
      </c>
      <c r="C329" s="580">
        <v>64.618937738935927</v>
      </c>
      <c r="D329" s="580">
        <v>53.056953465730587</v>
      </c>
      <c r="E329" s="580">
        <v>57.149410248535027</v>
      </c>
      <c r="F329" s="580">
        <v>78.193683197976597</v>
      </c>
      <c r="G329" s="203"/>
      <c r="H329" s="203"/>
      <c r="I329" s="203"/>
      <c r="J329" s="203"/>
    </row>
    <row r="330" spans="1:10" ht="14">
      <c r="A330" s="239"/>
      <c r="B330" s="273" t="s">
        <v>110</v>
      </c>
      <c r="C330" s="580">
        <v>81.085484427259217</v>
      </c>
      <c r="D330" s="580">
        <v>50.139550978568813</v>
      </c>
      <c r="E330" s="580">
        <v>52.970241096233977</v>
      </c>
      <c r="F330" s="580">
        <v>64.65985040400264</v>
      </c>
      <c r="G330" s="203"/>
      <c r="H330" s="203"/>
      <c r="I330" s="203"/>
      <c r="J330" s="203"/>
    </row>
    <row r="331" spans="1:10" ht="14">
      <c r="A331" s="239"/>
      <c r="B331" s="273" t="s">
        <v>117</v>
      </c>
      <c r="C331" s="580">
        <v>40.026827542461128</v>
      </c>
      <c r="D331" s="580">
        <v>51.412314178261738</v>
      </c>
      <c r="E331" s="580">
        <v>52.494018000298652</v>
      </c>
      <c r="F331" s="580">
        <v>78.0621923240451</v>
      </c>
      <c r="G331" s="203"/>
      <c r="H331" s="203"/>
      <c r="I331" s="203"/>
      <c r="J331" s="203"/>
    </row>
    <row r="332" spans="1:10" ht="14">
      <c r="A332" s="239"/>
      <c r="B332" s="273" t="s">
        <v>112</v>
      </c>
      <c r="C332" s="580">
        <v>51.547011974860453</v>
      </c>
      <c r="D332" s="580">
        <v>51.802982625560148</v>
      </c>
      <c r="E332" s="580">
        <v>51.988343209319012</v>
      </c>
      <c r="F332" s="580">
        <v>73.053801270595713</v>
      </c>
      <c r="G332" s="203"/>
      <c r="H332" s="203"/>
      <c r="I332" s="203"/>
      <c r="J332" s="203"/>
    </row>
    <row r="333" spans="1:10" ht="14">
      <c r="A333" s="239"/>
      <c r="B333" s="273" t="s">
        <v>113</v>
      </c>
      <c r="C333" s="580">
        <v>57.756097961995657</v>
      </c>
      <c r="D333" s="580">
        <v>59.18084135066659</v>
      </c>
      <c r="E333" s="580">
        <v>69.734247674526458</v>
      </c>
      <c r="F333" s="580">
        <v>54.41601953717921</v>
      </c>
      <c r="G333" s="203"/>
      <c r="H333" s="203"/>
      <c r="I333" s="203"/>
      <c r="J333" s="203"/>
    </row>
    <row r="334" spans="1:10" ht="14">
      <c r="A334" s="239"/>
      <c r="B334" s="273" t="s">
        <v>114</v>
      </c>
      <c r="C334" s="580">
        <v>76.053472093153744</v>
      </c>
      <c r="D334" s="580">
        <v>51.257939816142823</v>
      </c>
      <c r="E334" s="580">
        <v>53.398088343885533</v>
      </c>
      <c r="F334" s="580">
        <v>57.474339575585553</v>
      </c>
      <c r="G334" s="203"/>
      <c r="H334" s="203"/>
      <c r="I334" s="203"/>
      <c r="J334" s="203"/>
    </row>
    <row r="335" spans="1:10" ht="14">
      <c r="A335" s="239"/>
      <c r="B335" s="273" t="s">
        <v>115</v>
      </c>
      <c r="C335" s="580">
        <v>51.823449823368463</v>
      </c>
      <c r="D335" s="580">
        <v>54.342367373388761</v>
      </c>
      <c r="E335" s="580">
        <v>69.611144938513888</v>
      </c>
      <c r="F335" s="580">
        <v>58.006357504676693</v>
      </c>
      <c r="G335" s="203"/>
      <c r="H335" s="203"/>
      <c r="I335" s="203"/>
      <c r="J335" s="203"/>
    </row>
    <row r="336" spans="1:10" ht="14">
      <c r="A336" s="240"/>
      <c r="B336" s="274" t="s">
        <v>116</v>
      </c>
      <c r="C336" s="582">
        <v>52.397109437428938</v>
      </c>
      <c r="D336" s="582">
        <v>56.452797718657038</v>
      </c>
      <c r="E336" s="582">
        <v>68.940008928273699</v>
      </c>
      <c r="F336" s="582">
        <v>53.399067310757353</v>
      </c>
      <c r="G336" s="203"/>
      <c r="H336" s="203"/>
      <c r="I336" s="203"/>
      <c r="J336" s="203"/>
    </row>
    <row r="337" spans="1:10" ht="14">
      <c r="A337" s="238">
        <v>2024</v>
      </c>
      <c r="B337" s="272" t="s">
        <v>105</v>
      </c>
      <c r="C337" s="578">
        <v>53.233933252025068</v>
      </c>
      <c r="D337" s="578">
        <v>54.550638372189788</v>
      </c>
      <c r="E337" s="578">
        <v>53.641148084062493</v>
      </c>
      <c r="F337" s="578">
        <v>58.631973346422583</v>
      </c>
      <c r="G337" s="203"/>
      <c r="H337" s="203"/>
      <c r="I337" s="203"/>
      <c r="J337" s="203"/>
    </row>
    <row r="338" spans="1:10" ht="14">
      <c r="A338" s="239"/>
      <c r="B338" s="273" t="s">
        <v>106</v>
      </c>
      <c r="C338" s="580">
        <v>56.211373188815649</v>
      </c>
      <c r="D338" s="580">
        <v>52.746642894555698</v>
      </c>
      <c r="E338" s="580">
        <v>53.752588327439597</v>
      </c>
      <c r="F338" s="580">
        <v>59.682088060302988</v>
      </c>
      <c r="G338" s="203"/>
      <c r="H338" s="203"/>
      <c r="I338" s="203"/>
      <c r="J338" s="203"/>
    </row>
    <row r="339" spans="1:10" ht="14">
      <c r="A339" s="239"/>
      <c r="B339" s="273" t="s">
        <v>107</v>
      </c>
      <c r="C339" s="580">
        <v>49.916701496268551</v>
      </c>
      <c r="D339" s="580">
        <v>73.715940488063978</v>
      </c>
      <c r="E339" s="580">
        <v>89.108722079739152</v>
      </c>
      <c r="F339" s="580">
        <v>60.754507472535323</v>
      </c>
      <c r="G339" s="203"/>
      <c r="H339" s="203"/>
      <c r="I339" s="203"/>
      <c r="J339" s="203"/>
    </row>
    <row r="340" spans="1:10" ht="14">
      <c r="A340" s="239"/>
      <c r="B340" s="273" t="s">
        <v>108</v>
      </c>
      <c r="C340" s="598">
        <v>45.09683105077842</v>
      </c>
      <c r="D340" s="598">
        <v>52.489178938191721</v>
      </c>
      <c r="E340" s="598">
        <v>55.178500628399938</v>
      </c>
      <c r="F340" s="598">
        <v>60.71945930897148</v>
      </c>
      <c r="G340" s="203"/>
      <c r="H340" s="203"/>
      <c r="I340" s="203"/>
      <c r="J340" s="203"/>
    </row>
    <row r="341" spans="1:10" ht="14">
      <c r="A341" s="239"/>
      <c r="B341" s="273" t="s">
        <v>109</v>
      </c>
      <c r="C341" s="580">
        <v>68.85687285884508</v>
      </c>
      <c r="D341" s="580">
        <v>51.865217841187253</v>
      </c>
      <c r="E341" s="580">
        <v>89.480431910335483</v>
      </c>
      <c r="F341" s="580">
        <v>56.5632778519021</v>
      </c>
      <c r="G341" s="203"/>
      <c r="H341" s="203"/>
      <c r="I341" s="203"/>
      <c r="J341" s="203"/>
    </row>
    <row r="342" spans="1:10" ht="14">
      <c r="A342" s="239"/>
      <c r="B342" s="273" t="s">
        <v>110</v>
      </c>
      <c r="C342" s="580">
        <v>51.821067516121403</v>
      </c>
      <c r="D342" s="580">
        <v>52.84589616099133</v>
      </c>
      <c r="E342" s="580">
        <v>89.707313225834341</v>
      </c>
      <c r="F342" s="580">
        <v>62.635135587645813</v>
      </c>
      <c r="G342" s="203"/>
      <c r="H342" s="203"/>
      <c r="I342" s="203"/>
      <c r="J342" s="203"/>
    </row>
    <row r="343" spans="1:10" ht="14">
      <c r="A343" s="239"/>
      <c r="B343" s="273" t="s">
        <v>117</v>
      </c>
      <c r="C343" s="580">
        <v>52.945034171183472</v>
      </c>
      <c r="D343" s="580">
        <v>52.399181651044607</v>
      </c>
      <c r="E343" s="580">
        <v>88.307928007124858</v>
      </c>
      <c r="F343" s="580">
        <v>57.758907129673233</v>
      </c>
      <c r="G343" s="203"/>
      <c r="H343" s="203"/>
      <c r="I343" s="203"/>
      <c r="J343" s="203"/>
    </row>
    <row r="344" spans="1:10" ht="14">
      <c r="A344" s="239"/>
      <c r="B344" s="273" t="s">
        <v>112</v>
      </c>
      <c r="C344" s="580">
        <v>68.971500945965047</v>
      </c>
      <c r="D344" s="580">
        <v>51.790158964202682</v>
      </c>
      <c r="E344" s="580">
        <v>51.976186890724343</v>
      </c>
      <c r="F344" s="580">
        <v>64.620704180380386</v>
      </c>
      <c r="G344" s="203"/>
      <c r="H344" s="203"/>
      <c r="I344" s="203"/>
      <c r="J344" s="203"/>
    </row>
    <row r="345" spans="1:10" ht="14">
      <c r="A345" s="239"/>
      <c r="B345" s="273" t="s">
        <v>113</v>
      </c>
      <c r="C345" s="580">
        <v>68.977044857607041</v>
      </c>
      <c r="D345" s="580">
        <v>51.355470923199967</v>
      </c>
      <c r="E345" s="580">
        <v>87.904990974852197</v>
      </c>
      <c r="F345" s="580">
        <v>57.707481759335437</v>
      </c>
      <c r="G345" s="203"/>
      <c r="H345" s="203"/>
      <c r="I345" s="203"/>
      <c r="J345" s="203"/>
    </row>
    <row r="346" spans="1:10" ht="14">
      <c r="A346" s="239"/>
      <c r="B346" s="273" t="s">
        <v>114</v>
      </c>
      <c r="C346" s="580">
        <v>54.364537878180812</v>
      </c>
      <c r="D346" s="580">
        <v>51.676221360371777</v>
      </c>
      <c r="E346" s="580">
        <v>89.266320993746575</v>
      </c>
      <c r="F346" s="580">
        <v>55.373200816051551</v>
      </c>
      <c r="G346" s="203"/>
      <c r="H346" s="203"/>
      <c r="I346" s="203"/>
      <c r="J346" s="203"/>
    </row>
    <row r="347" spans="1:10" ht="14">
      <c r="A347" s="239"/>
      <c r="B347" s="273" t="s">
        <v>115</v>
      </c>
      <c r="C347" s="580">
        <v>55.371051124399791</v>
      </c>
      <c r="D347" s="580">
        <v>62.99750899666379</v>
      </c>
      <c r="E347" s="580">
        <v>89.092073977702228</v>
      </c>
      <c r="F347" s="580">
        <v>76.110666682447857</v>
      </c>
      <c r="G347" s="203"/>
      <c r="H347" s="203"/>
      <c r="I347" s="203"/>
      <c r="J347" s="203"/>
    </row>
    <row r="348" spans="1:10" ht="14">
      <c r="A348" s="240"/>
      <c r="B348" s="274" t="s">
        <v>116</v>
      </c>
      <c r="C348" s="582">
        <v>60.506851562902071</v>
      </c>
      <c r="D348" s="582">
        <v>52.363800463517677</v>
      </c>
      <c r="E348" s="582">
        <v>50.813710813898503</v>
      </c>
      <c r="F348" s="582">
        <v>59.288626881871423</v>
      </c>
      <c r="G348" s="203"/>
      <c r="H348" s="203"/>
      <c r="I348" s="203"/>
      <c r="J348" s="203"/>
    </row>
    <row r="349" spans="1:10" ht="14">
      <c r="A349" s="238">
        <v>2025</v>
      </c>
      <c r="B349" s="272" t="s">
        <v>105</v>
      </c>
      <c r="C349" s="578">
        <v>52.871111417816252</v>
      </c>
      <c r="D349" s="578">
        <v>51.964378312551737</v>
      </c>
      <c r="E349" s="578">
        <v>65.006545976316019</v>
      </c>
      <c r="F349" s="578">
        <v>57.098338151941242</v>
      </c>
      <c r="G349" s="203"/>
      <c r="H349" s="203"/>
      <c r="I349" s="203"/>
      <c r="J349" s="203"/>
    </row>
    <row r="350" spans="1:10" ht="14">
      <c r="A350" s="239"/>
      <c r="B350" s="273" t="s">
        <v>106</v>
      </c>
      <c r="C350" s="580">
        <v>46.500050002573097</v>
      </c>
      <c r="D350" s="580">
        <v>50.421406637670891</v>
      </c>
      <c r="E350" s="580">
        <v>65.2667201498721</v>
      </c>
      <c r="F350" s="580">
        <v>57.178216448380212</v>
      </c>
      <c r="G350" s="203"/>
      <c r="H350" s="203"/>
      <c r="I350" s="203"/>
      <c r="J350" s="203"/>
    </row>
    <row r="351" spans="1:10" ht="14">
      <c r="A351" s="239"/>
      <c r="B351" s="273" t="s">
        <v>107</v>
      </c>
      <c r="C351" s="580">
        <v>60.968593497553101</v>
      </c>
      <c r="D351" s="580">
        <v>51.867620413097633</v>
      </c>
      <c r="E351" s="580">
        <v>63.2621088248329</v>
      </c>
      <c r="F351" s="580">
        <v>53.908306355123798</v>
      </c>
      <c r="G351" s="203"/>
      <c r="H351" s="203"/>
      <c r="I351" s="203"/>
      <c r="J351" s="203"/>
    </row>
    <row r="352" spans="1:10" ht="14">
      <c r="A352" s="239"/>
      <c r="B352" s="273" t="s">
        <v>108</v>
      </c>
      <c r="C352" s="580">
        <v>57.175151474711321</v>
      </c>
      <c r="D352" s="580">
        <v>52.603014051026477</v>
      </c>
      <c r="E352" s="580">
        <v>65.06876947935433</v>
      </c>
      <c r="F352" s="580">
        <v>53.555196088630979</v>
      </c>
      <c r="G352" s="203"/>
      <c r="H352" s="203"/>
      <c r="I352" s="203"/>
      <c r="J352" s="203"/>
    </row>
    <row r="353" spans="1:10" ht="14">
      <c r="A353" s="239"/>
      <c r="B353" s="273" t="s">
        <v>109</v>
      </c>
      <c r="C353" s="580">
        <v>51.753175288597447</v>
      </c>
      <c r="D353" s="580">
        <v>54.903561184912192</v>
      </c>
      <c r="E353" s="580">
        <v>63.141996747441382</v>
      </c>
      <c r="F353" s="580">
        <v>69.79926779240779</v>
      </c>
      <c r="G353" s="203"/>
      <c r="H353" s="203"/>
      <c r="I353" s="203"/>
      <c r="J353" s="203"/>
    </row>
    <row r="354" spans="1:10" ht="14">
      <c r="A354" s="239"/>
      <c r="B354" s="273" t="s">
        <v>110</v>
      </c>
      <c r="C354" s="594">
        <v>49.728976677858853</v>
      </c>
      <c r="D354" s="594">
        <v>52.439053218155841</v>
      </c>
      <c r="E354" s="594">
        <v>65.8750892427868</v>
      </c>
      <c r="F354" s="594">
        <v>54.234657678982408</v>
      </c>
      <c r="G354" s="203"/>
      <c r="H354" s="203"/>
      <c r="I354" s="203"/>
      <c r="J354" s="203"/>
    </row>
    <row r="355" spans="1:10" ht="14">
      <c r="A355" s="239"/>
      <c r="B355" s="273" t="s">
        <v>117</v>
      </c>
      <c r="C355" s="594">
        <v>53.91342483348425</v>
      </c>
      <c r="D355" s="594">
        <v>52.254051032797001</v>
      </c>
      <c r="E355" s="594">
        <v>65.17598991312606</v>
      </c>
      <c r="F355" s="594">
        <v>72.026257426608851</v>
      </c>
      <c r="G355" s="203"/>
      <c r="H355" s="203"/>
      <c r="I355" s="203"/>
      <c r="J355" s="203"/>
    </row>
    <row r="356" spans="1:10" ht="14">
      <c r="A356" s="239"/>
      <c r="B356" s="273" t="s">
        <v>112</v>
      </c>
      <c r="C356" s="594">
        <v>57.638421770157727</v>
      </c>
      <c r="D356" s="594">
        <v>52.484080435132519</v>
      </c>
      <c r="E356" s="594">
        <v>55.197837718505809</v>
      </c>
      <c r="F356" s="594">
        <v>73.965770643740058</v>
      </c>
      <c r="G356" s="203"/>
      <c r="H356" s="203"/>
      <c r="I356" s="203"/>
      <c r="J356" s="203"/>
    </row>
    <row r="357" spans="1:10" ht="14">
      <c r="A357" s="239"/>
      <c r="B357" s="273" t="s">
        <v>113</v>
      </c>
      <c r="C357" s="594">
        <v>62.169629910438701</v>
      </c>
      <c r="D357" s="594">
        <v>52.959203931275077</v>
      </c>
      <c r="E357" s="594">
        <v>54.443891684382237</v>
      </c>
      <c r="F357" s="594">
        <v>81.005912587016184</v>
      </c>
      <c r="G357" s="203"/>
      <c r="H357" s="203"/>
      <c r="I357" s="203"/>
      <c r="J357" s="203"/>
    </row>
    <row r="358" spans="1:10" ht="14">
      <c r="A358" s="239"/>
      <c r="B358" s="273" t="s">
        <v>114</v>
      </c>
      <c r="C358" s="594">
        <v>58.063561085726022</v>
      </c>
      <c r="D358" s="594">
        <v>53.277987768807478</v>
      </c>
      <c r="E358" s="594">
        <v>54.740292215074469</v>
      </c>
      <c r="F358" s="594">
        <v>80.202380134354527</v>
      </c>
      <c r="G358" s="203"/>
      <c r="H358" s="203"/>
      <c r="I358" s="203"/>
      <c r="J358" s="203"/>
    </row>
    <row r="359" spans="1:10" ht="14">
      <c r="A359" s="239"/>
      <c r="B359" s="273" t="s">
        <v>115</v>
      </c>
      <c r="C359" s="594">
        <v>50.000000000000007</v>
      </c>
      <c r="D359" s="594">
        <v>53.4941833390209</v>
      </c>
      <c r="E359" s="594">
        <v>53.952191164990452</v>
      </c>
      <c r="F359" s="594">
        <v>84.048399159303329</v>
      </c>
      <c r="G359" s="203"/>
      <c r="H359" s="203"/>
      <c r="I359" s="203"/>
      <c r="J359" s="203"/>
    </row>
    <row r="360" spans="1:10" ht="14">
      <c r="A360" s="240"/>
      <c r="B360" s="274" t="s">
        <v>116</v>
      </c>
      <c r="C360" s="595">
        <v>58.42423971077578</v>
      </c>
      <c r="D360" s="595">
        <v>53.307473874132747</v>
      </c>
      <c r="E360" s="595">
        <v>54.901764786342653</v>
      </c>
      <c r="F360" s="595">
        <v>68.62898815555603</v>
      </c>
      <c r="G360" s="203"/>
      <c r="H360" s="203"/>
      <c r="I360" s="203"/>
      <c r="J360" s="203"/>
    </row>
    <row r="361" spans="1:10" ht="14">
      <c r="A361" s="238">
        <v>2026</v>
      </c>
      <c r="B361" s="272" t="s">
        <v>105</v>
      </c>
      <c r="C361" s="686">
        <v>60.17836081949708</v>
      </c>
      <c r="D361" s="686">
        <v>67.051790490129065</v>
      </c>
      <c r="E361" s="686">
        <v>55.818893418108964</v>
      </c>
      <c r="F361" s="686">
        <v>82.621603690579192</v>
      </c>
      <c r="G361" s="203"/>
      <c r="H361" s="203"/>
      <c r="I361" s="203"/>
      <c r="J361" s="203"/>
    </row>
    <row r="362" spans="1:10" ht="14">
      <c r="A362" s="239"/>
      <c r="B362" s="273" t="s">
        <v>106</v>
      </c>
      <c r="C362" s="594">
        <v>52.423421545488623</v>
      </c>
      <c r="D362" s="594">
        <v>60.121701782150978</v>
      </c>
      <c r="E362" s="594">
        <v>62.712601179760377</v>
      </c>
      <c r="F362" s="594">
        <v>85.356304872224541</v>
      </c>
      <c r="G362" s="203"/>
      <c r="H362" s="203"/>
      <c r="I362" s="203"/>
      <c r="J362" s="203"/>
    </row>
    <row r="363" spans="1:10" ht="14">
      <c r="A363" s="240"/>
      <c r="B363" s="274" t="s">
        <v>107</v>
      </c>
      <c r="C363" s="595">
        <v>50.761233632629931</v>
      </c>
      <c r="D363" s="595">
        <v>52.50010115396141</v>
      </c>
      <c r="E363" s="595">
        <v>52.622747641337398</v>
      </c>
      <c r="F363" s="595">
        <v>69.685162435334888</v>
      </c>
      <c r="G363" s="203"/>
      <c r="H363" s="203"/>
      <c r="I363" s="203"/>
      <c r="J363" s="203"/>
    </row>
    <row r="364" spans="1:10">
      <c r="G364" s="203"/>
      <c r="H364" s="203"/>
      <c r="I364" s="203"/>
      <c r="J364" s="203"/>
    </row>
    <row r="365" spans="1:10" ht="14">
      <c r="A365" s="823" t="s">
        <v>367</v>
      </c>
      <c r="B365" s="823"/>
      <c r="C365" s="823"/>
      <c r="D365" s="823"/>
      <c r="E365" s="823"/>
      <c r="F365" s="823"/>
      <c r="G365" s="203"/>
      <c r="H365" s="203"/>
      <c r="I365" s="203"/>
      <c r="J365" s="203"/>
    </row>
    <row r="366" spans="1:10" ht="14">
      <c r="A366" s="717" t="s">
        <v>98</v>
      </c>
      <c r="B366" s="718"/>
      <c r="C366" s="824" t="s">
        <v>358</v>
      </c>
      <c r="D366" s="825"/>
      <c r="E366" s="825"/>
      <c r="F366" s="826"/>
      <c r="G366" s="203"/>
      <c r="H366" s="203"/>
      <c r="I366" s="203"/>
      <c r="J366" s="203"/>
    </row>
    <row r="367" spans="1:10" ht="45" customHeight="1">
      <c r="A367" s="751"/>
      <c r="B367" s="752"/>
      <c r="C367" s="277" t="s">
        <v>359</v>
      </c>
      <c r="D367" s="277" t="s">
        <v>360</v>
      </c>
      <c r="E367" s="277" t="s">
        <v>361</v>
      </c>
      <c r="F367" s="376" t="s">
        <v>362</v>
      </c>
      <c r="G367" s="203"/>
      <c r="H367" s="203"/>
      <c r="I367" s="203"/>
      <c r="J367" s="203"/>
    </row>
    <row r="368" spans="1:10" ht="14">
      <c r="A368" s="238">
        <v>2020</v>
      </c>
      <c r="B368" s="247" t="s">
        <v>112</v>
      </c>
      <c r="C368" s="578">
        <v>54.150909087069337</v>
      </c>
      <c r="D368" s="578">
        <v>81.479230213736969</v>
      </c>
      <c r="E368" s="578">
        <v>52.029422306111783</v>
      </c>
      <c r="F368" s="579">
        <v>47.401878396566588</v>
      </c>
      <c r="G368" s="203"/>
      <c r="H368" s="203"/>
      <c r="I368" s="203"/>
      <c r="J368" s="203"/>
    </row>
    <row r="369" spans="1:10" ht="14">
      <c r="A369" s="239"/>
      <c r="B369" s="273" t="s">
        <v>113</v>
      </c>
      <c r="C369" s="580">
        <v>51.617639994272203</v>
      </c>
      <c r="D369" s="580">
        <v>54.212089418586608</v>
      </c>
      <c r="E369" s="580">
        <v>48.120048680164707</v>
      </c>
      <c r="F369" s="581">
        <v>35.32026289111613</v>
      </c>
      <c r="G369" s="203"/>
      <c r="H369" s="203"/>
      <c r="I369" s="203"/>
      <c r="J369" s="203"/>
    </row>
    <row r="370" spans="1:10" ht="14">
      <c r="A370" s="239"/>
      <c r="B370" s="273" t="s">
        <v>114</v>
      </c>
      <c r="C370" s="580">
        <v>50.607568407182953</v>
      </c>
      <c r="D370" s="580">
        <v>53.165931246999371</v>
      </c>
      <c r="E370" s="580">
        <v>19.438518493247582</v>
      </c>
      <c r="F370" s="581">
        <v>57.555137647438137</v>
      </c>
      <c r="G370" s="203"/>
      <c r="H370" s="203"/>
      <c r="I370" s="203"/>
      <c r="J370" s="203"/>
    </row>
    <row r="371" spans="1:10" ht="14">
      <c r="A371" s="239"/>
      <c r="B371" s="273" t="s">
        <v>115</v>
      </c>
      <c r="C371" s="580">
        <v>51.121807533799391</v>
      </c>
      <c r="D371" s="580">
        <v>53.688851313659057</v>
      </c>
      <c r="E371" s="580">
        <v>19.782112969140488</v>
      </c>
      <c r="F371" s="581">
        <v>57.678741470132778</v>
      </c>
      <c r="G371" s="203"/>
      <c r="H371" s="203"/>
      <c r="I371" s="203"/>
      <c r="J371" s="203"/>
    </row>
    <row r="372" spans="1:10" ht="14">
      <c r="A372" s="239"/>
      <c r="B372" s="274" t="s">
        <v>116</v>
      </c>
      <c r="C372" s="582">
        <v>49.164378241892798</v>
      </c>
      <c r="D372" s="582">
        <v>52.027934262242631</v>
      </c>
      <c r="E372" s="582">
        <v>52.970994004199312</v>
      </c>
      <c r="F372" s="583">
        <v>61.68274759675711</v>
      </c>
      <c r="G372" s="203"/>
      <c r="H372" s="203"/>
      <c r="I372" s="203"/>
      <c r="J372" s="203"/>
    </row>
    <row r="373" spans="1:10" ht="14">
      <c r="A373" s="597">
        <v>2021</v>
      </c>
      <c r="B373" s="272" t="s">
        <v>105</v>
      </c>
      <c r="C373" s="578">
        <v>50.520387193351802</v>
      </c>
      <c r="D373" s="578">
        <v>33.122071611697173</v>
      </c>
      <c r="E373" s="578">
        <v>58.513902526691837</v>
      </c>
      <c r="F373" s="579">
        <v>62.398364434298188</v>
      </c>
      <c r="G373" s="203"/>
      <c r="H373" s="203"/>
      <c r="I373" s="203"/>
      <c r="J373" s="203"/>
    </row>
    <row r="374" spans="1:10" ht="14">
      <c r="A374" s="284"/>
      <c r="B374" s="273" t="s">
        <v>106</v>
      </c>
      <c r="C374" s="580">
        <v>50.307260551025117</v>
      </c>
      <c r="D374" s="580">
        <v>53.109944101938282</v>
      </c>
      <c r="E374" s="580">
        <v>54.258571161414451</v>
      </c>
      <c r="F374" s="581">
        <v>53.961724426629708</v>
      </c>
      <c r="G374" s="203"/>
      <c r="H374" s="203"/>
      <c r="I374" s="203"/>
      <c r="J374" s="203"/>
    </row>
    <row r="375" spans="1:10" ht="14">
      <c r="A375" s="284"/>
      <c r="B375" s="273" t="s">
        <v>107</v>
      </c>
      <c r="C375" s="580">
        <v>50.283010724059118</v>
      </c>
      <c r="D375" s="580">
        <v>54.422327270236472</v>
      </c>
      <c r="E375" s="580">
        <v>57.000374828370113</v>
      </c>
      <c r="F375" s="581">
        <v>58.39263630113949</v>
      </c>
      <c r="G375" s="203"/>
      <c r="H375" s="203"/>
      <c r="I375" s="203"/>
      <c r="J375" s="203"/>
    </row>
    <row r="376" spans="1:10" ht="14">
      <c r="A376" s="284"/>
      <c r="B376" s="273" t="s">
        <v>108</v>
      </c>
      <c r="C376" s="580">
        <v>85.237647358088552</v>
      </c>
      <c r="D376" s="580">
        <v>54.664853674838028</v>
      </c>
      <c r="E376" s="580">
        <v>46.902498155231648</v>
      </c>
      <c r="F376" s="581">
        <v>56.847240811207847</v>
      </c>
      <c r="G376" s="203"/>
      <c r="H376" s="203"/>
      <c r="I376" s="203"/>
      <c r="J376" s="203"/>
    </row>
    <row r="377" spans="1:10" ht="14">
      <c r="A377" s="284"/>
      <c r="B377" s="273" t="s">
        <v>109</v>
      </c>
      <c r="C377" s="580">
        <v>50.202606272202523</v>
      </c>
      <c r="D377" s="580">
        <v>33.037362560632303</v>
      </c>
      <c r="E377" s="580">
        <v>55.813328017183622</v>
      </c>
      <c r="F377" s="581">
        <v>56.852825875965067</v>
      </c>
      <c r="G377" s="203"/>
      <c r="H377" s="203"/>
      <c r="I377" s="203"/>
      <c r="J377" s="203"/>
    </row>
    <row r="378" spans="1:10" ht="14">
      <c r="A378" s="284"/>
      <c r="B378" s="273" t="s">
        <v>110</v>
      </c>
      <c r="C378" s="580">
        <v>50.050715971591927</v>
      </c>
      <c r="D378" s="580">
        <v>54.359127956959647</v>
      </c>
      <c r="E378" s="580">
        <v>51.714866797191434</v>
      </c>
      <c r="F378" s="581">
        <v>60.46047790131248</v>
      </c>
      <c r="G378" s="203"/>
      <c r="H378" s="203"/>
      <c r="I378" s="203"/>
      <c r="J378" s="203"/>
    </row>
    <row r="379" spans="1:10" ht="14">
      <c r="A379" s="284"/>
      <c r="B379" s="273" t="s">
        <v>117</v>
      </c>
      <c r="C379" s="580">
        <v>50.359231191493649</v>
      </c>
      <c r="D379" s="580">
        <v>52.761362475979134</v>
      </c>
      <c r="E379" s="580">
        <v>56.020370759541279</v>
      </c>
      <c r="F379" s="581">
        <v>56.142161674811177</v>
      </c>
      <c r="G379" s="203"/>
      <c r="H379" s="203"/>
      <c r="I379" s="203"/>
      <c r="J379" s="203"/>
    </row>
    <row r="380" spans="1:10" ht="14">
      <c r="A380" s="284"/>
      <c r="B380" s="273" t="s">
        <v>112</v>
      </c>
      <c r="C380" s="580">
        <v>50.144088983728579</v>
      </c>
      <c r="D380" s="580">
        <v>51.151533602495483</v>
      </c>
      <c r="E380" s="580">
        <v>48.774190432389737</v>
      </c>
      <c r="F380" s="581">
        <v>58.685407109957232</v>
      </c>
      <c r="G380" s="203"/>
      <c r="H380" s="203"/>
      <c r="I380" s="203"/>
      <c r="J380" s="203"/>
    </row>
    <row r="381" spans="1:10" ht="14">
      <c r="A381" s="284"/>
      <c r="B381" s="273" t="s">
        <v>113</v>
      </c>
      <c r="C381" s="580">
        <v>49.725414128105598</v>
      </c>
      <c r="D381" s="580">
        <v>50.094978678214787</v>
      </c>
      <c r="E381" s="580">
        <v>50.809926777513198</v>
      </c>
      <c r="F381" s="581">
        <v>61.786457291996911</v>
      </c>
      <c r="G381" s="203"/>
      <c r="H381" s="203"/>
      <c r="I381" s="203"/>
      <c r="J381" s="203"/>
    </row>
    <row r="382" spans="1:10" ht="14">
      <c r="A382" s="284"/>
      <c r="B382" s="273" t="s">
        <v>114</v>
      </c>
      <c r="C382" s="580">
        <v>50.424890593831933</v>
      </c>
      <c r="D382" s="580">
        <v>57.499520010839227</v>
      </c>
      <c r="E382" s="580">
        <v>49.844380624534047</v>
      </c>
      <c r="F382" s="581">
        <v>50.564236402387117</v>
      </c>
      <c r="G382" s="203"/>
      <c r="H382" s="203"/>
      <c r="I382" s="203"/>
      <c r="J382" s="203"/>
    </row>
    <row r="383" spans="1:10" ht="14">
      <c r="A383" s="239"/>
      <c r="B383" s="273" t="s">
        <v>115</v>
      </c>
      <c r="C383" s="580">
        <v>49.745237175658872</v>
      </c>
      <c r="D383" s="580">
        <v>36.050265384984357</v>
      </c>
      <c r="E383" s="580">
        <v>54.204942383207161</v>
      </c>
      <c r="F383" s="581">
        <v>52.406431648706231</v>
      </c>
      <c r="G383" s="203"/>
      <c r="H383" s="203"/>
      <c r="I383" s="203"/>
      <c r="J383" s="203"/>
    </row>
    <row r="384" spans="1:10" ht="14">
      <c r="A384" s="285"/>
      <c r="B384" s="274" t="s">
        <v>116</v>
      </c>
      <c r="C384" s="582">
        <v>50.598694701148183</v>
      </c>
      <c r="D384" s="582">
        <v>52.674195925792432</v>
      </c>
      <c r="E384" s="592">
        <v>59.024826683792611</v>
      </c>
      <c r="F384" s="582">
        <v>74.685063770103852</v>
      </c>
      <c r="G384" s="203"/>
      <c r="H384" s="203"/>
      <c r="I384" s="203"/>
      <c r="J384" s="203"/>
    </row>
    <row r="385" spans="1:10" ht="14">
      <c r="A385" s="238">
        <v>2022</v>
      </c>
      <c r="B385" s="272" t="s">
        <v>105</v>
      </c>
      <c r="C385" s="578">
        <v>50.321392664204637</v>
      </c>
      <c r="D385" s="578">
        <v>41.084529541435963</v>
      </c>
      <c r="E385" s="578">
        <v>51.700213728890269</v>
      </c>
      <c r="F385" s="578">
        <v>56.625549106212418</v>
      </c>
      <c r="G385" s="203"/>
      <c r="H385" s="203"/>
      <c r="I385" s="203"/>
      <c r="J385" s="203"/>
    </row>
    <row r="386" spans="1:10" ht="14">
      <c r="A386" s="239"/>
      <c r="B386" s="273" t="s">
        <v>106</v>
      </c>
      <c r="C386" s="580">
        <v>14.24449507998909</v>
      </c>
      <c r="D386" s="580">
        <v>51.561831574512802</v>
      </c>
      <c r="E386" s="580">
        <v>51.828646426202511</v>
      </c>
      <c r="F386" s="580">
        <v>56.22619763506011</v>
      </c>
      <c r="G386" s="203"/>
      <c r="H386" s="203"/>
      <c r="I386" s="203"/>
      <c r="J386" s="203"/>
    </row>
    <row r="387" spans="1:10" ht="14">
      <c r="A387" s="239"/>
      <c r="B387" s="273" t="s">
        <v>107</v>
      </c>
      <c r="C387" s="580">
        <v>49.328795661594683</v>
      </c>
      <c r="D387" s="580">
        <v>52.507018855863912</v>
      </c>
      <c r="E387" s="580">
        <v>52.211524327382079</v>
      </c>
      <c r="F387" s="580">
        <v>57.881925947625632</v>
      </c>
      <c r="G387" s="203"/>
      <c r="H387" s="203"/>
      <c r="I387" s="203"/>
      <c r="J387" s="203"/>
    </row>
    <row r="388" spans="1:10" ht="14">
      <c r="A388" s="239"/>
      <c r="B388" s="273" t="s">
        <v>108</v>
      </c>
      <c r="C388" s="580">
        <v>45.83095482037983</v>
      </c>
      <c r="D388" s="580">
        <v>54.168706237651307</v>
      </c>
      <c r="E388" s="580">
        <v>55.976956470898273</v>
      </c>
      <c r="F388" s="580">
        <v>58.262069134319432</v>
      </c>
      <c r="G388" s="203"/>
      <c r="H388" s="203"/>
      <c r="I388" s="203"/>
      <c r="J388" s="203"/>
    </row>
    <row r="389" spans="1:10" ht="14">
      <c r="A389" s="239"/>
      <c r="B389" s="273" t="s">
        <v>109</v>
      </c>
      <c r="C389" s="580">
        <v>50.823215516028782</v>
      </c>
      <c r="D389" s="580">
        <v>51.765293274936418</v>
      </c>
      <c r="E389" s="580">
        <v>56.772868444717943</v>
      </c>
      <c r="F389" s="580">
        <v>56.302792101449761</v>
      </c>
      <c r="G389" s="203"/>
      <c r="H389" s="203"/>
      <c r="I389" s="203"/>
      <c r="J389" s="203"/>
    </row>
    <row r="390" spans="1:10" ht="14">
      <c r="A390" s="239"/>
      <c r="B390" s="273" t="s">
        <v>110</v>
      </c>
      <c r="C390" s="580">
        <v>50.818983098359752</v>
      </c>
      <c r="D390" s="580">
        <v>53.273509186811779</v>
      </c>
      <c r="E390" s="580">
        <v>51.432964777980906</v>
      </c>
      <c r="F390" s="580">
        <v>58.445466114619187</v>
      </c>
      <c r="G390" s="203"/>
      <c r="H390" s="203"/>
      <c r="I390" s="203"/>
      <c r="J390" s="203"/>
    </row>
    <row r="391" spans="1:10" ht="14">
      <c r="A391" s="239"/>
      <c r="B391" s="273" t="s">
        <v>117</v>
      </c>
      <c r="C391" s="580">
        <v>51.432036845139827</v>
      </c>
      <c r="D391" s="580">
        <v>28.024954568151411</v>
      </c>
      <c r="E391" s="580">
        <v>56.509799035270341</v>
      </c>
      <c r="F391" s="580">
        <v>59.395958609762019</v>
      </c>
      <c r="G391" s="203"/>
      <c r="H391" s="203"/>
      <c r="I391" s="203"/>
      <c r="J391" s="203"/>
    </row>
    <row r="392" spans="1:10" ht="14">
      <c r="A392" s="239"/>
      <c r="B392" s="273" t="s">
        <v>112</v>
      </c>
      <c r="C392" s="580">
        <v>53.479406397006628</v>
      </c>
      <c r="D392" s="580">
        <v>79.526046998255325</v>
      </c>
      <c r="E392" s="580">
        <v>54.939337996459173</v>
      </c>
      <c r="F392" s="580">
        <v>58.745329683338568</v>
      </c>
      <c r="G392" s="203"/>
      <c r="H392" s="203"/>
      <c r="I392" s="203"/>
      <c r="J392" s="203"/>
    </row>
    <row r="393" spans="1:10" ht="14">
      <c r="A393" s="239"/>
      <c r="B393" s="273" t="s">
        <v>113</v>
      </c>
      <c r="C393" s="580">
        <v>51.4423939006331</v>
      </c>
      <c r="D393" s="580">
        <v>54.394742977307793</v>
      </c>
      <c r="E393" s="580">
        <v>53.105549017528169</v>
      </c>
      <c r="F393" s="580">
        <v>51.3835007406175</v>
      </c>
      <c r="G393" s="203"/>
      <c r="H393" s="203"/>
      <c r="I393" s="203"/>
      <c r="J393" s="203"/>
    </row>
    <row r="394" spans="1:10" ht="14">
      <c r="A394" s="239"/>
      <c r="B394" s="273" t="s">
        <v>114</v>
      </c>
      <c r="C394" s="580">
        <v>68.652642726866787</v>
      </c>
      <c r="D394" s="580">
        <v>54.926985278814612</v>
      </c>
      <c r="E394" s="580">
        <v>50.327113731890393</v>
      </c>
      <c r="F394" s="580">
        <v>71.86130427577028</v>
      </c>
      <c r="G394" s="203"/>
      <c r="H394" s="203"/>
      <c r="I394" s="203"/>
      <c r="J394" s="203"/>
    </row>
    <row r="395" spans="1:10" ht="14">
      <c r="A395" s="239"/>
      <c r="B395" s="273" t="s">
        <v>115</v>
      </c>
      <c r="C395" s="580">
        <v>45.925017604811423</v>
      </c>
      <c r="D395" s="580">
        <v>72.88966242394234</v>
      </c>
      <c r="E395" s="580">
        <v>73.529632537214752</v>
      </c>
      <c r="F395" s="580">
        <v>72.810556343909994</v>
      </c>
      <c r="G395" s="203"/>
      <c r="H395" s="203"/>
      <c r="I395" s="203"/>
      <c r="J395" s="203"/>
    </row>
    <row r="396" spans="1:10" ht="14">
      <c r="A396" s="240"/>
      <c r="B396" s="274" t="s">
        <v>116</v>
      </c>
      <c r="C396" s="582">
        <v>54.948695503151249</v>
      </c>
      <c r="D396" s="582">
        <v>51.611705364017027</v>
      </c>
      <c r="E396" s="582">
        <v>53.063528753332733</v>
      </c>
      <c r="F396" s="582">
        <v>48.897724124925631</v>
      </c>
      <c r="G396" s="203"/>
      <c r="H396" s="203"/>
      <c r="I396" s="203"/>
      <c r="J396" s="203"/>
    </row>
    <row r="397" spans="1:10" ht="14">
      <c r="A397" s="238">
        <v>2023</v>
      </c>
      <c r="B397" s="272" t="s">
        <v>105</v>
      </c>
      <c r="C397" s="578">
        <v>53.640085899899873</v>
      </c>
      <c r="D397" s="578">
        <v>52.032566338976117</v>
      </c>
      <c r="E397" s="578">
        <v>86.901397078206998</v>
      </c>
      <c r="F397" s="578">
        <v>62.530798296796583</v>
      </c>
      <c r="G397" s="203"/>
      <c r="H397" s="203"/>
      <c r="I397" s="203"/>
      <c r="J397" s="203"/>
    </row>
    <row r="398" spans="1:10" ht="14">
      <c r="A398" s="239"/>
      <c r="B398" s="273" t="s">
        <v>106</v>
      </c>
      <c r="C398" s="580">
        <v>53.126457034626817</v>
      </c>
      <c r="D398" s="580">
        <v>85.256752239364005</v>
      </c>
      <c r="E398" s="580">
        <v>65.672638305142186</v>
      </c>
      <c r="F398" s="580">
        <v>71.567322025796685</v>
      </c>
      <c r="G398" s="203"/>
      <c r="H398" s="203"/>
      <c r="I398" s="203"/>
      <c r="J398" s="203"/>
    </row>
    <row r="399" spans="1:10" ht="14">
      <c r="A399" s="239"/>
      <c r="B399" s="273" t="s">
        <v>107</v>
      </c>
      <c r="C399" s="580">
        <v>51.036374124458611</v>
      </c>
      <c r="D399" s="580">
        <v>52.171552118242083</v>
      </c>
      <c r="E399" s="580">
        <v>54.023770469897542</v>
      </c>
      <c r="F399" s="580">
        <v>62.894372815454453</v>
      </c>
      <c r="G399" s="203"/>
      <c r="H399" s="203"/>
      <c r="I399" s="203"/>
      <c r="J399" s="203"/>
    </row>
    <row r="400" spans="1:10" ht="14">
      <c r="A400" s="239"/>
      <c r="B400" s="273" t="s">
        <v>108</v>
      </c>
      <c r="C400" s="580">
        <v>60.316860052634318</v>
      </c>
      <c r="D400" s="580">
        <v>51.866350310688247</v>
      </c>
      <c r="E400" s="580">
        <v>52.483537859921817</v>
      </c>
      <c r="F400" s="580">
        <v>61.151073017055722</v>
      </c>
      <c r="G400" s="203"/>
      <c r="H400" s="203"/>
      <c r="I400" s="203"/>
      <c r="J400" s="203"/>
    </row>
    <row r="401" spans="1:10" ht="14">
      <c r="A401" s="239"/>
      <c r="B401" s="273" t="s">
        <v>109</v>
      </c>
      <c r="C401" s="580">
        <v>57.146761288428728</v>
      </c>
      <c r="D401" s="580">
        <v>51.494145295889737</v>
      </c>
      <c r="E401" s="580">
        <v>68.401314166752286</v>
      </c>
      <c r="F401" s="580">
        <v>70.073134105548164</v>
      </c>
      <c r="G401" s="203"/>
      <c r="H401" s="203"/>
      <c r="I401" s="203"/>
      <c r="J401" s="203"/>
    </row>
    <row r="402" spans="1:10" ht="14">
      <c r="A402" s="239"/>
      <c r="B402" s="273" t="s">
        <v>110</v>
      </c>
      <c r="C402" s="580">
        <v>59.048873184906697</v>
      </c>
      <c r="D402" s="580">
        <v>50.149084490452459</v>
      </c>
      <c r="E402" s="580">
        <v>51.81811074933438</v>
      </c>
      <c r="F402" s="580">
        <v>80.463604224103022</v>
      </c>
      <c r="G402" s="203"/>
      <c r="H402" s="203"/>
      <c r="I402" s="203"/>
      <c r="J402" s="203"/>
    </row>
    <row r="403" spans="1:10" ht="14">
      <c r="A403" s="239"/>
      <c r="B403" s="273" t="s">
        <v>117</v>
      </c>
      <c r="C403" s="580">
        <v>63.07191406390033</v>
      </c>
      <c r="D403" s="580">
        <v>30.018001402839879</v>
      </c>
      <c r="E403" s="580">
        <v>52.060286315982573</v>
      </c>
      <c r="F403" s="580">
        <v>78.721349209928078</v>
      </c>
      <c r="G403" s="203"/>
      <c r="H403" s="203"/>
      <c r="I403" s="203"/>
      <c r="J403" s="203"/>
    </row>
    <row r="404" spans="1:10" ht="14">
      <c r="A404" s="239"/>
      <c r="B404" s="273" t="s">
        <v>112</v>
      </c>
      <c r="C404" s="580">
        <v>48.656679256268909</v>
      </c>
      <c r="D404" s="580">
        <v>50.694900507987249</v>
      </c>
      <c r="E404" s="580">
        <v>52.71735490660884</v>
      </c>
      <c r="F404" s="580">
        <v>61.671469668816428</v>
      </c>
      <c r="G404" s="203"/>
      <c r="H404" s="203"/>
      <c r="I404" s="203"/>
      <c r="J404" s="203"/>
    </row>
    <row r="405" spans="1:10" ht="14">
      <c r="A405" s="239"/>
      <c r="B405" s="273" t="s">
        <v>113</v>
      </c>
      <c r="C405" s="580">
        <v>50.004247437234191</v>
      </c>
      <c r="D405" s="580">
        <v>64.222209105528123</v>
      </c>
      <c r="E405" s="580">
        <v>52.284385050239827</v>
      </c>
      <c r="F405" s="580">
        <v>61.378330359706069</v>
      </c>
      <c r="G405" s="203"/>
      <c r="H405" s="203"/>
      <c r="I405" s="203"/>
      <c r="J405" s="203"/>
    </row>
    <row r="406" spans="1:10" ht="14">
      <c r="A406" s="239"/>
      <c r="B406" s="273" t="s">
        <v>114</v>
      </c>
      <c r="C406" s="580">
        <v>56.33751735188315</v>
      </c>
      <c r="D406" s="580">
        <v>51.799336245848792</v>
      </c>
      <c r="E406" s="580">
        <v>50.995327020569157</v>
      </c>
      <c r="F406" s="580">
        <v>51.43535315158924</v>
      </c>
      <c r="G406" s="203"/>
      <c r="H406" s="203"/>
      <c r="I406" s="203"/>
      <c r="J406" s="203"/>
    </row>
    <row r="407" spans="1:10" ht="14">
      <c r="A407" s="239"/>
      <c r="B407" s="273" t="s">
        <v>115</v>
      </c>
      <c r="C407" s="580">
        <v>53.959531483645883</v>
      </c>
      <c r="D407" s="580">
        <v>41.536190857827528</v>
      </c>
      <c r="E407" s="580">
        <v>68.841907790360267</v>
      </c>
      <c r="F407" s="580">
        <v>56.156270230558611</v>
      </c>
      <c r="G407" s="203"/>
      <c r="H407" s="203"/>
      <c r="I407" s="203"/>
      <c r="J407" s="203"/>
    </row>
    <row r="408" spans="1:10" ht="14">
      <c r="A408" s="240"/>
      <c r="B408" s="274" t="s">
        <v>116</v>
      </c>
      <c r="C408" s="582">
        <v>54.438797615147777</v>
      </c>
      <c r="D408" s="582">
        <v>85.249003939376777</v>
      </c>
      <c r="E408" s="582">
        <v>50.170159247853157</v>
      </c>
      <c r="F408" s="582">
        <v>56.714730390342503</v>
      </c>
      <c r="G408" s="203"/>
      <c r="H408" s="203"/>
      <c r="I408" s="203"/>
      <c r="J408" s="203"/>
    </row>
    <row r="409" spans="1:10" ht="14">
      <c r="A409" s="238">
        <v>2024</v>
      </c>
      <c r="B409" s="272" t="s">
        <v>105</v>
      </c>
      <c r="C409" s="578">
        <v>60.569724613258387</v>
      </c>
      <c r="D409" s="578">
        <v>50.298125345257937</v>
      </c>
      <c r="E409" s="578">
        <v>53.348286492328171</v>
      </c>
      <c r="F409" s="578">
        <v>65.329489707928516</v>
      </c>
      <c r="G409" s="203"/>
      <c r="H409" s="203"/>
      <c r="I409" s="203"/>
      <c r="J409" s="203"/>
    </row>
    <row r="410" spans="1:10" ht="14">
      <c r="A410" s="239"/>
      <c r="B410" s="273" t="s">
        <v>106</v>
      </c>
      <c r="C410" s="580">
        <v>50.302833750328382</v>
      </c>
      <c r="D410" s="580">
        <v>51.498638826220208</v>
      </c>
      <c r="E410" s="580">
        <v>52.792534611142337</v>
      </c>
      <c r="F410" s="580">
        <v>61.707417605304776</v>
      </c>
      <c r="G410" s="203"/>
      <c r="H410" s="203"/>
      <c r="I410" s="203"/>
      <c r="J410" s="203"/>
    </row>
    <row r="411" spans="1:10" ht="14">
      <c r="A411" s="239"/>
      <c r="B411" s="273" t="s">
        <v>107</v>
      </c>
      <c r="C411" s="580">
        <v>58.288285259720382</v>
      </c>
      <c r="D411" s="580">
        <v>53.072048851358247</v>
      </c>
      <c r="E411" s="580">
        <v>50.217803284568298</v>
      </c>
      <c r="F411" s="580">
        <v>66.976764448500333</v>
      </c>
      <c r="G411" s="203"/>
      <c r="H411" s="203"/>
      <c r="I411" s="203"/>
      <c r="J411" s="203"/>
    </row>
    <row r="412" spans="1:10" ht="14">
      <c r="A412" s="239"/>
      <c r="B412" s="273" t="s">
        <v>108</v>
      </c>
      <c r="C412" s="598">
        <v>50.021222905014227</v>
      </c>
      <c r="D412" s="598">
        <v>50.796201647805518</v>
      </c>
      <c r="E412" s="598">
        <v>51.851917860152561</v>
      </c>
      <c r="F412" s="598">
        <v>56.957225075683468</v>
      </c>
      <c r="G412" s="203"/>
      <c r="H412" s="203"/>
      <c r="I412" s="203"/>
      <c r="J412" s="203"/>
    </row>
    <row r="413" spans="1:10" ht="14">
      <c r="A413" s="239"/>
      <c r="B413" s="273" t="s">
        <v>109</v>
      </c>
      <c r="C413" s="580">
        <v>49.858803450309381</v>
      </c>
      <c r="D413" s="580">
        <v>50.372815859518347</v>
      </c>
      <c r="E413" s="580">
        <v>51.857191852000803</v>
      </c>
      <c r="F413" s="580">
        <v>61.097448683215667</v>
      </c>
      <c r="G413" s="203"/>
      <c r="H413" s="203"/>
      <c r="I413" s="203"/>
      <c r="J413" s="203"/>
    </row>
    <row r="414" spans="1:10" ht="14">
      <c r="A414" s="239"/>
      <c r="B414" s="273" t="s">
        <v>110</v>
      </c>
      <c r="C414" s="580">
        <v>50.847182703826199</v>
      </c>
      <c r="D414" s="580">
        <v>51.309071272212961</v>
      </c>
      <c r="E414" s="580">
        <v>51.495589192613103</v>
      </c>
      <c r="F414" s="580">
        <v>62.493383514478182</v>
      </c>
      <c r="G414" s="203"/>
      <c r="H414" s="203"/>
      <c r="I414" s="203"/>
      <c r="J414" s="203"/>
    </row>
    <row r="415" spans="1:10" ht="14">
      <c r="A415" s="239"/>
      <c r="B415" s="273" t="s">
        <v>117</v>
      </c>
      <c r="C415" s="580">
        <v>49.560697764140308</v>
      </c>
      <c r="D415" s="580">
        <v>51.884924253230871</v>
      </c>
      <c r="E415" s="580">
        <v>51.158843266623641</v>
      </c>
      <c r="F415" s="580">
        <v>65.149086428313041</v>
      </c>
      <c r="G415" s="203"/>
      <c r="H415" s="203"/>
      <c r="I415" s="203"/>
      <c r="J415" s="203"/>
    </row>
    <row r="416" spans="1:10" ht="14">
      <c r="A416" s="239"/>
      <c r="B416" s="273" t="s">
        <v>112</v>
      </c>
      <c r="C416" s="580">
        <v>51.163069618849697</v>
      </c>
      <c r="D416" s="580">
        <v>50.834892119542069</v>
      </c>
      <c r="E416" s="580">
        <v>50.4882283629493</v>
      </c>
      <c r="F416" s="580">
        <v>64.466715748068737</v>
      </c>
      <c r="G416" s="203"/>
      <c r="H416" s="203"/>
      <c r="I416" s="203"/>
      <c r="J416" s="203"/>
    </row>
    <row r="417" spans="1:10" ht="14">
      <c r="A417" s="239"/>
      <c r="B417" s="273" t="s">
        <v>113</v>
      </c>
      <c r="C417" s="580">
        <v>50.271729753130217</v>
      </c>
      <c r="D417" s="580">
        <v>51.05865818609427</v>
      </c>
      <c r="E417" s="580">
        <v>50.931290348233688</v>
      </c>
      <c r="F417" s="580">
        <v>62.168275382572752</v>
      </c>
      <c r="G417" s="203"/>
      <c r="H417" s="203"/>
      <c r="I417" s="203"/>
      <c r="J417" s="203"/>
    </row>
    <row r="418" spans="1:10" ht="14">
      <c r="A418" s="239"/>
      <c r="B418" s="273" t="s">
        <v>114</v>
      </c>
      <c r="C418" s="580">
        <v>50.464381125699923</v>
      </c>
      <c r="D418" s="580">
        <v>49.273042634837999</v>
      </c>
      <c r="E418" s="580">
        <v>50.349341149177981</v>
      </c>
      <c r="F418" s="580">
        <v>63.535830329251027</v>
      </c>
      <c r="G418" s="203"/>
      <c r="H418" s="203"/>
      <c r="I418" s="203"/>
      <c r="J418" s="203"/>
    </row>
    <row r="419" spans="1:10" ht="14">
      <c r="A419" s="239"/>
      <c r="B419" s="273" t="s">
        <v>115</v>
      </c>
      <c r="C419" s="580">
        <v>50.970409278928187</v>
      </c>
      <c r="D419" s="580">
        <v>50.576953941607783</v>
      </c>
      <c r="E419" s="580">
        <v>50.615803072347063</v>
      </c>
      <c r="F419" s="580">
        <v>62.650219199836002</v>
      </c>
      <c r="G419" s="203"/>
      <c r="H419" s="203"/>
      <c r="I419" s="203"/>
      <c r="J419" s="203"/>
    </row>
    <row r="420" spans="1:10" ht="14">
      <c r="A420" s="240"/>
      <c r="B420" s="274" t="s">
        <v>116</v>
      </c>
      <c r="C420" s="582">
        <v>50.070599298975317</v>
      </c>
      <c r="D420" s="582">
        <v>50.68554879530916</v>
      </c>
      <c r="E420" s="582">
        <v>49.407930977601069</v>
      </c>
      <c r="F420" s="582">
        <v>61.875443191156982</v>
      </c>
      <c r="G420" s="203"/>
      <c r="H420" s="203"/>
      <c r="I420" s="203"/>
      <c r="J420" s="203"/>
    </row>
    <row r="421" spans="1:10" ht="14">
      <c r="A421" s="238">
        <v>2025</v>
      </c>
      <c r="B421" s="272" t="s">
        <v>105</v>
      </c>
      <c r="C421" s="578">
        <v>48.486030446261388</v>
      </c>
      <c r="D421" s="578">
        <v>50.91840754910065</v>
      </c>
      <c r="E421" s="578">
        <v>50.384583997828919</v>
      </c>
      <c r="F421" s="578">
        <v>61.386095741389951</v>
      </c>
      <c r="G421" s="203"/>
      <c r="H421" s="203"/>
      <c r="I421" s="203"/>
      <c r="J421" s="203"/>
    </row>
    <row r="422" spans="1:10" ht="14">
      <c r="A422" s="239"/>
      <c r="B422" s="273" t="s">
        <v>106</v>
      </c>
      <c r="C422" s="580">
        <v>51.356774679901697</v>
      </c>
      <c r="D422" s="580">
        <v>49.97884012651275</v>
      </c>
      <c r="E422" s="580">
        <v>50.172167252346703</v>
      </c>
      <c r="F422" s="580">
        <v>82.871975038980779</v>
      </c>
      <c r="G422" s="203"/>
      <c r="H422" s="203"/>
      <c r="I422" s="203"/>
      <c r="J422" s="203"/>
    </row>
    <row r="423" spans="1:10" ht="14">
      <c r="A423" s="239"/>
      <c r="B423" s="273" t="s">
        <v>107</v>
      </c>
      <c r="C423" s="580">
        <v>53.763352827285217</v>
      </c>
      <c r="D423" s="580">
        <v>52.545350999560583</v>
      </c>
      <c r="E423" s="580">
        <v>51.164457476634048</v>
      </c>
      <c r="F423" s="580">
        <v>63.273240566438922</v>
      </c>
      <c r="G423" s="203"/>
      <c r="H423" s="203"/>
      <c r="I423" s="203"/>
      <c r="J423" s="203"/>
    </row>
    <row r="424" spans="1:10" ht="14">
      <c r="A424" s="239"/>
      <c r="B424" s="273" t="s">
        <v>108</v>
      </c>
      <c r="C424" s="580">
        <v>49.699168759603609</v>
      </c>
      <c r="D424" s="580">
        <v>52.285948678861708</v>
      </c>
      <c r="E424" s="580">
        <v>48.930370661232793</v>
      </c>
      <c r="F424" s="580">
        <v>61.132765999045311</v>
      </c>
      <c r="G424" s="203"/>
      <c r="H424" s="203"/>
      <c r="I424" s="203"/>
      <c r="J424" s="203"/>
    </row>
    <row r="425" spans="1:10" ht="14">
      <c r="A425" s="239"/>
      <c r="B425" s="273" t="s">
        <v>109</v>
      </c>
      <c r="C425" s="580">
        <v>41.093351920059852</v>
      </c>
      <c r="D425" s="580">
        <v>50.977413507054607</v>
      </c>
      <c r="E425" s="580">
        <v>50.012993931868898</v>
      </c>
      <c r="F425" s="580">
        <v>37.361104494800138</v>
      </c>
      <c r="G425" s="203"/>
      <c r="H425" s="203"/>
      <c r="I425" s="203"/>
      <c r="J425" s="203"/>
    </row>
    <row r="426" spans="1:10" ht="14">
      <c r="A426" s="239"/>
      <c r="B426" s="273" t="s">
        <v>110</v>
      </c>
      <c r="C426" s="594">
        <v>49.356431427149673</v>
      </c>
      <c r="D426" s="594">
        <v>51.15830250242783</v>
      </c>
      <c r="E426" s="594">
        <v>63.60180643826881</v>
      </c>
      <c r="F426" s="594">
        <v>58.893278363517062</v>
      </c>
      <c r="G426" s="203"/>
      <c r="H426" s="203"/>
      <c r="I426" s="203"/>
      <c r="J426" s="203"/>
    </row>
    <row r="427" spans="1:10" ht="14">
      <c r="A427" s="239"/>
      <c r="B427" s="273" t="s">
        <v>117</v>
      </c>
      <c r="C427" s="594">
        <v>51.119368668835797</v>
      </c>
      <c r="D427" s="594">
        <v>50.224226245512128</v>
      </c>
      <c r="E427" s="594">
        <v>51.295707916797262</v>
      </c>
      <c r="F427" s="594">
        <v>44.88920063454087</v>
      </c>
      <c r="G427" s="203"/>
      <c r="H427" s="203"/>
      <c r="I427" s="203"/>
      <c r="J427" s="203"/>
    </row>
    <row r="428" spans="1:10" ht="14">
      <c r="A428" s="239"/>
      <c r="B428" s="273" t="s">
        <v>112</v>
      </c>
      <c r="C428" s="594">
        <v>58.658627277465982</v>
      </c>
      <c r="D428" s="594">
        <v>51.392920720299962</v>
      </c>
      <c r="E428" s="594">
        <v>63.631001221711578</v>
      </c>
      <c r="F428" s="594">
        <v>43.861629244491368</v>
      </c>
      <c r="G428" s="203"/>
      <c r="H428" s="203"/>
      <c r="I428" s="203"/>
      <c r="J428" s="203"/>
    </row>
    <row r="429" spans="1:10" ht="14">
      <c r="A429" s="239"/>
      <c r="B429" s="273" t="s">
        <v>113</v>
      </c>
      <c r="C429" s="594">
        <v>49.675136650534121</v>
      </c>
      <c r="D429" s="594">
        <v>50.638435956444987</v>
      </c>
      <c r="E429" s="594">
        <v>50.803724237807131</v>
      </c>
      <c r="F429" s="594">
        <v>41.536627133016509</v>
      </c>
      <c r="G429" s="203"/>
      <c r="H429" s="203"/>
      <c r="I429" s="203"/>
      <c r="J429" s="203"/>
    </row>
    <row r="430" spans="1:10" ht="14">
      <c r="A430" s="239"/>
      <c r="B430" s="273" t="s">
        <v>114</v>
      </c>
      <c r="C430" s="594">
        <v>56.480148113510332</v>
      </c>
      <c r="D430" s="594">
        <v>50.834911448694697</v>
      </c>
      <c r="E430" s="594">
        <v>58.387343980230028</v>
      </c>
      <c r="F430" s="594">
        <v>44.852252833874132</v>
      </c>
      <c r="G430" s="203"/>
      <c r="H430" s="203"/>
      <c r="I430" s="203"/>
      <c r="J430" s="203"/>
    </row>
    <row r="431" spans="1:10" ht="14">
      <c r="A431" s="239"/>
      <c r="B431" s="273" t="s">
        <v>115</v>
      </c>
      <c r="C431" s="594">
        <v>49.75817259473947</v>
      </c>
      <c r="D431" s="594">
        <v>51.88795762131577</v>
      </c>
      <c r="E431" s="594">
        <v>50.409973774947247</v>
      </c>
      <c r="F431" s="594">
        <v>43.825489563060039</v>
      </c>
      <c r="G431" s="203"/>
      <c r="H431" s="203"/>
      <c r="I431" s="203"/>
      <c r="J431" s="203"/>
    </row>
    <row r="432" spans="1:10" ht="14">
      <c r="A432" s="240"/>
      <c r="B432" s="274" t="s">
        <v>116</v>
      </c>
      <c r="C432" s="595">
        <v>49.768434365292393</v>
      </c>
      <c r="D432" s="595">
        <v>51.472069514843319</v>
      </c>
      <c r="E432" s="595">
        <v>50.883062791733323</v>
      </c>
      <c r="F432" s="595">
        <v>43.563776590977461</v>
      </c>
      <c r="G432" s="203"/>
      <c r="H432" s="203"/>
      <c r="I432" s="203"/>
      <c r="J432" s="203"/>
    </row>
    <row r="433" spans="1:10" ht="14">
      <c r="A433" s="238">
        <v>2026</v>
      </c>
      <c r="B433" s="272" t="s">
        <v>105</v>
      </c>
      <c r="C433" s="686">
        <v>49.065373543162472</v>
      </c>
      <c r="D433" s="686">
        <v>43.08674268038741</v>
      </c>
      <c r="E433" s="686">
        <v>51.138780419230322</v>
      </c>
      <c r="F433" s="686">
        <v>37.109735709191732</v>
      </c>
      <c r="G433" s="203"/>
      <c r="H433" s="203"/>
      <c r="I433" s="203"/>
      <c r="J433" s="203"/>
    </row>
    <row r="434" spans="1:10" ht="14">
      <c r="A434" s="239"/>
      <c r="B434" s="273" t="s">
        <v>106</v>
      </c>
      <c r="C434" s="594">
        <v>47.523457158336313</v>
      </c>
      <c r="D434" s="594">
        <v>49.08339574792609</v>
      </c>
      <c r="E434" s="594">
        <v>50.10948680435807</v>
      </c>
      <c r="F434" s="594">
        <v>45.811090467888583</v>
      </c>
      <c r="G434" s="203"/>
      <c r="H434" s="203"/>
      <c r="I434" s="203"/>
      <c r="J434" s="203"/>
    </row>
    <row r="435" spans="1:10" ht="14">
      <c r="A435" s="240"/>
      <c r="B435" s="274" t="s">
        <v>107</v>
      </c>
      <c r="C435" s="595">
        <v>50.558600175737979</v>
      </c>
      <c r="D435" s="595">
        <v>50.10986612457063</v>
      </c>
      <c r="E435" s="595">
        <v>40.252446247119757</v>
      </c>
      <c r="F435" s="595">
        <v>42.654787240061303</v>
      </c>
      <c r="G435" s="203"/>
      <c r="H435" s="203"/>
      <c r="I435" s="203"/>
      <c r="J435" s="203"/>
    </row>
    <row r="436" spans="1:10">
      <c r="G436" s="203"/>
      <c r="H436" s="203"/>
      <c r="I436" s="203"/>
      <c r="J436" s="203"/>
    </row>
    <row r="437" spans="1:10" ht="14">
      <c r="A437" s="823" t="s">
        <v>368</v>
      </c>
      <c r="B437" s="823"/>
      <c r="C437" s="823"/>
      <c r="D437" s="823"/>
      <c r="E437" s="823"/>
      <c r="F437" s="823"/>
      <c r="G437" s="203"/>
      <c r="H437" s="203"/>
      <c r="I437" s="203"/>
      <c r="J437" s="203"/>
    </row>
    <row r="438" spans="1:10" ht="14">
      <c r="A438" s="717" t="s">
        <v>98</v>
      </c>
      <c r="B438" s="718"/>
      <c r="C438" s="824" t="s">
        <v>358</v>
      </c>
      <c r="D438" s="825"/>
      <c r="E438" s="825"/>
      <c r="F438" s="826"/>
      <c r="G438" s="203"/>
      <c r="H438" s="203"/>
      <c r="I438" s="203"/>
      <c r="J438" s="203"/>
    </row>
    <row r="439" spans="1:10" ht="45" customHeight="1">
      <c r="A439" s="751"/>
      <c r="B439" s="752"/>
      <c r="C439" s="277" t="s">
        <v>359</v>
      </c>
      <c r="D439" s="277" t="s">
        <v>360</v>
      </c>
      <c r="E439" s="277" t="s">
        <v>361</v>
      </c>
      <c r="F439" s="376" t="s">
        <v>362</v>
      </c>
      <c r="G439" s="203"/>
      <c r="H439" s="203"/>
      <c r="I439" s="203"/>
      <c r="J439" s="203"/>
    </row>
    <row r="440" spans="1:10" ht="14">
      <c r="A440" s="238">
        <v>2020</v>
      </c>
      <c r="B440" s="247" t="s">
        <v>112</v>
      </c>
      <c r="C440" s="578">
        <v>59.379642047042623</v>
      </c>
      <c r="D440" s="578">
        <v>81.554626059868838</v>
      </c>
      <c r="E440" s="578">
        <v>59.845231487320177</v>
      </c>
      <c r="F440" s="579">
        <v>52.348959098124482</v>
      </c>
      <c r="G440" s="203"/>
      <c r="H440" s="203"/>
      <c r="I440" s="203"/>
      <c r="J440" s="203"/>
    </row>
    <row r="441" spans="1:10" ht="14">
      <c r="A441" s="239"/>
      <c r="B441" s="273" t="s">
        <v>113</v>
      </c>
      <c r="C441" s="580">
        <v>51.125491530151123</v>
      </c>
      <c r="D441" s="580">
        <v>52.896051861016012</v>
      </c>
      <c r="E441" s="580">
        <v>54.750760272290158</v>
      </c>
      <c r="F441" s="581">
        <v>63.897206164096559</v>
      </c>
      <c r="G441" s="203"/>
      <c r="H441" s="203"/>
      <c r="I441" s="203"/>
      <c r="J441" s="203"/>
    </row>
    <row r="442" spans="1:10" ht="14">
      <c r="A442" s="239"/>
      <c r="B442" s="273" t="s">
        <v>114</v>
      </c>
      <c r="C442" s="580">
        <v>49.851079648260338</v>
      </c>
      <c r="D442" s="580">
        <v>67.037737103270203</v>
      </c>
      <c r="E442" s="580">
        <v>19.702164499815218</v>
      </c>
      <c r="F442" s="581">
        <v>58.4161238490572</v>
      </c>
      <c r="G442" s="203"/>
      <c r="H442" s="203"/>
      <c r="I442" s="203"/>
      <c r="J442" s="203"/>
    </row>
    <row r="443" spans="1:10" ht="14">
      <c r="A443" s="239"/>
      <c r="B443" s="273" t="s">
        <v>115</v>
      </c>
      <c r="C443" s="580">
        <v>51.27084386756902</v>
      </c>
      <c r="D443" s="580">
        <v>53.530663860169589</v>
      </c>
      <c r="E443" s="580">
        <v>53.561280393402527</v>
      </c>
      <c r="F443" s="581">
        <v>58.02475281688595</v>
      </c>
      <c r="G443" s="203"/>
      <c r="H443" s="203"/>
      <c r="I443" s="203"/>
      <c r="J443" s="203"/>
    </row>
    <row r="444" spans="1:10" ht="14">
      <c r="A444" s="239"/>
      <c r="B444" s="274" t="s">
        <v>116</v>
      </c>
      <c r="C444" s="582">
        <v>52.318722485809097</v>
      </c>
      <c r="D444" s="582">
        <v>67.04235198797052</v>
      </c>
      <c r="E444" s="582">
        <v>20.079760674268421</v>
      </c>
      <c r="F444" s="583">
        <v>66.456561735117319</v>
      </c>
      <c r="G444" s="203"/>
      <c r="H444" s="203"/>
      <c r="I444" s="203"/>
      <c r="J444" s="203"/>
    </row>
    <row r="445" spans="1:10" ht="14">
      <c r="A445" s="597">
        <v>2021</v>
      </c>
      <c r="B445" s="272" t="s">
        <v>105</v>
      </c>
      <c r="C445" s="578">
        <v>86.429641663032939</v>
      </c>
      <c r="D445" s="578">
        <v>52.327941376664</v>
      </c>
      <c r="E445" s="578">
        <v>68.33888422036361</v>
      </c>
      <c r="F445" s="579">
        <v>62.994267768007496</v>
      </c>
      <c r="G445" s="203"/>
      <c r="H445" s="203"/>
      <c r="I445" s="203"/>
      <c r="J445" s="203"/>
    </row>
    <row r="446" spans="1:10" ht="14">
      <c r="A446" s="284"/>
      <c r="B446" s="273" t="s">
        <v>106</v>
      </c>
      <c r="C446" s="580">
        <v>49.701139120278562</v>
      </c>
      <c r="D446" s="580">
        <v>53.302736704456208</v>
      </c>
      <c r="E446" s="580">
        <v>55.858914810226672</v>
      </c>
      <c r="F446" s="581">
        <v>82.478316064534098</v>
      </c>
      <c r="G446" s="203"/>
      <c r="H446" s="203"/>
      <c r="I446" s="203"/>
      <c r="J446" s="203"/>
    </row>
    <row r="447" spans="1:10" ht="14">
      <c r="A447" s="284"/>
      <c r="B447" s="273" t="s">
        <v>107</v>
      </c>
      <c r="C447" s="580">
        <v>50.360030888424859</v>
      </c>
      <c r="D447" s="580">
        <v>53.299359123889523</v>
      </c>
      <c r="E447" s="580">
        <v>48.41560972776599</v>
      </c>
      <c r="F447" s="581">
        <v>60.906873073041957</v>
      </c>
      <c r="G447" s="203"/>
      <c r="H447" s="203"/>
      <c r="I447" s="203"/>
      <c r="J447" s="203"/>
    </row>
    <row r="448" spans="1:10" ht="14">
      <c r="A448" s="284"/>
      <c r="B448" s="273" t="s">
        <v>108</v>
      </c>
      <c r="C448" s="580">
        <v>50.23982508224892</v>
      </c>
      <c r="D448" s="580">
        <v>53.586179888263388</v>
      </c>
      <c r="E448" s="580">
        <v>66.88388870550321</v>
      </c>
      <c r="F448" s="581">
        <v>58.533228358704328</v>
      </c>
      <c r="G448" s="203"/>
      <c r="H448" s="203"/>
      <c r="I448" s="203"/>
      <c r="J448" s="203"/>
    </row>
    <row r="449" spans="1:10" ht="14">
      <c r="A449" s="284"/>
      <c r="B449" s="273" t="s">
        <v>109</v>
      </c>
      <c r="C449" s="580">
        <v>50.138610743997482</v>
      </c>
      <c r="D449" s="580">
        <v>53.900392640358127</v>
      </c>
      <c r="E449" s="580">
        <v>58.897362852598718</v>
      </c>
      <c r="F449" s="581">
        <v>57.044472775739131</v>
      </c>
      <c r="G449" s="203"/>
      <c r="H449" s="203"/>
      <c r="I449" s="203"/>
      <c r="J449" s="203"/>
    </row>
    <row r="450" spans="1:10" ht="14">
      <c r="A450" s="284"/>
      <c r="B450" s="273" t="s">
        <v>110</v>
      </c>
      <c r="C450" s="580">
        <v>50.190118021720473</v>
      </c>
      <c r="D450" s="580">
        <v>52.885494443945348</v>
      </c>
      <c r="E450" s="580">
        <v>52.909727046650787</v>
      </c>
      <c r="F450" s="581">
        <v>58.864250349224861</v>
      </c>
      <c r="G450" s="203"/>
      <c r="H450" s="203"/>
      <c r="I450" s="203"/>
      <c r="J450" s="203"/>
    </row>
    <row r="451" spans="1:10" ht="14">
      <c r="A451" s="284"/>
      <c r="B451" s="273" t="s">
        <v>117</v>
      </c>
      <c r="C451" s="580">
        <v>50.537020900423528</v>
      </c>
      <c r="D451" s="580">
        <v>55.660442856030699</v>
      </c>
      <c r="E451" s="580">
        <v>59.694622193823122</v>
      </c>
      <c r="F451" s="581">
        <v>55.541589459143502</v>
      </c>
      <c r="G451" s="203"/>
      <c r="H451" s="203"/>
      <c r="I451" s="203"/>
      <c r="J451" s="203"/>
    </row>
    <row r="452" spans="1:10" ht="14">
      <c r="A452" s="284"/>
      <c r="B452" s="273" t="s">
        <v>112</v>
      </c>
      <c r="C452" s="580">
        <v>13.808987536119449</v>
      </c>
      <c r="D452" s="580">
        <v>30.606387076101122</v>
      </c>
      <c r="E452" s="580">
        <v>54.761333721761233</v>
      </c>
      <c r="F452" s="581">
        <v>58.226501664742933</v>
      </c>
      <c r="G452" s="203"/>
      <c r="H452" s="203"/>
      <c r="I452" s="203"/>
      <c r="J452" s="203"/>
    </row>
    <row r="453" spans="1:10" ht="14">
      <c r="A453" s="284"/>
      <c r="B453" s="273" t="s">
        <v>113</v>
      </c>
      <c r="C453" s="580">
        <v>49.892419716118177</v>
      </c>
      <c r="D453" s="580">
        <v>50.272310616218178</v>
      </c>
      <c r="E453" s="580">
        <v>56.631026269788009</v>
      </c>
      <c r="F453" s="581">
        <v>62.944867227631612</v>
      </c>
      <c r="G453" s="203"/>
      <c r="H453" s="203"/>
      <c r="I453" s="203"/>
      <c r="J453" s="203"/>
    </row>
    <row r="454" spans="1:10" ht="14">
      <c r="A454" s="284"/>
      <c r="B454" s="273" t="s">
        <v>114</v>
      </c>
      <c r="C454" s="580">
        <v>49.816413190590048</v>
      </c>
      <c r="D454" s="580">
        <v>49.890110025514879</v>
      </c>
      <c r="E454" s="580">
        <v>51.093141538319173</v>
      </c>
      <c r="F454" s="581">
        <v>56.633057150247438</v>
      </c>
      <c r="G454" s="203"/>
      <c r="H454" s="203"/>
      <c r="I454" s="203"/>
      <c r="J454" s="203"/>
    </row>
    <row r="455" spans="1:10" ht="14">
      <c r="A455" s="284"/>
      <c r="B455" s="273" t="s">
        <v>115</v>
      </c>
      <c r="C455" s="580">
        <v>50.200389592032792</v>
      </c>
      <c r="D455" s="580">
        <v>51.10496700945373</v>
      </c>
      <c r="E455" s="580">
        <v>52.339446205623283</v>
      </c>
      <c r="F455" s="581">
        <v>74.321857530284106</v>
      </c>
      <c r="G455" s="203"/>
      <c r="H455" s="203"/>
      <c r="I455" s="203"/>
      <c r="J455" s="203"/>
    </row>
    <row r="456" spans="1:10" ht="14">
      <c r="A456" s="285"/>
      <c r="B456" s="274" t="s">
        <v>116</v>
      </c>
      <c r="C456" s="582">
        <v>50.351958457822917</v>
      </c>
      <c r="D456" s="582">
        <v>53.181083844879971</v>
      </c>
      <c r="E456" s="588">
        <v>60.00866270872271</v>
      </c>
      <c r="F456" s="582">
        <v>52.073363518925397</v>
      </c>
      <c r="G456" s="203"/>
      <c r="H456" s="203"/>
      <c r="I456" s="203"/>
      <c r="J456" s="203"/>
    </row>
    <row r="457" spans="1:10" ht="14">
      <c r="A457" s="238">
        <v>2022</v>
      </c>
      <c r="B457" s="272" t="s">
        <v>105</v>
      </c>
      <c r="C457" s="578">
        <v>14.500425940976299</v>
      </c>
      <c r="D457" s="578">
        <v>53.798495343645513</v>
      </c>
      <c r="E457" s="578">
        <v>52.707328873741339</v>
      </c>
      <c r="F457" s="578">
        <v>57.139010360313989</v>
      </c>
      <c r="G457" s="203"/>
      <c r="H457" s="203"/>
      <c r="I457" s="203"/>
      <c r="J457" s="203"/>
    </row>
    <row r="458" spans="1:10" ht="14">
      <c r="A458" s="239"/>
      <c r="B458" s="273" t="s">
        <v>106</v>
      </c>
      <c r="C458" s="580">
        <v>50.365455704834417</v>
      </c>
      <c r="D458" s="580">
        <v>54.490050657766098</v>
      </c>
      <c r="E458" s="580">
        <v>90.384550248654818</v>
      </c>
      <c r="F458" s="580">
        <v>57.368613360909627</v>
      </c>
      <c r="G458" s="203"/>
      <c r="H458" s="203"/>
      <c r="I458" s="203"/>
      <c r="J458" s="203"/>
    </row>
    <row r="459" spans="1:10" ht="14">
      <c r="A459" s="239"/>
      <c r="B459" s="273" t="s">
        <v>107</v>
      </c>
      <c r="C459" s="580">
        <v>49.486826193991611</v>
      </c>
      <c r="D459" s="580">
        <v>53.141927214516237</v>
      </c>
      <c r="E459" s="580">
        <v>52.498679651271281</v>
      </c>
      <c r="F459" s="580">
        <v>59.672896597453317</v>
      </c>
      <c r="G459" s="203"/>
      <c r="H459" s="203"/>
      <c r="I459" s="203"/>
      <c r="J459" s="203"/>
    </row>
    <row r="460" spans="1:10" ht="14">
      <c r="A460" s="239"/>
      <c r="B460" s="273" t="s">
        <v>108</v>
      </c>
      <c r="C460" s="580">
        <v>58.013842778613487</v>
      </c>
      <c r="D460" s="580">
        <v>52.377053893149302</v>
      </c>
      <c r="E460" s="580">
        <v>56.161685644076783</v>
      </c>
      <c r="F460" s="580">
        <v>59.103788692157238</v>
      </c>
      <c r="G460" s="203"/>
      <c r="H460" s="203"/>
      <c r="I460" s="203"/>
      <c r="J460" s="203"/>
    </row>
    <row r="461" spans="1:10" ht="14">
      <c r="A461" s="239"/>
      <c r="B461" s="273" t="s">
        <v>109</v>
      </c>
      <c r="C461" s="580">
        <v>54.702553055773059</v>
      </c>
      <c r="D461" s="580">
        <v>54.162505019000292</v>
      </c>
      <c r="E461" s="580">
        <v>54.204087057386971</v>
      </c>
      <c r="F461" s="580">
        <v>59.346530672712802</v>
      </c>
      <c r="G461" s="203"/>
      <c r="H461" s="203"/>
      <c r="I461" s="203"/>
      <c r="J461" s="203"/>
    </row>
    <row r="462" spans="1:10" ht="14">
      <c r="A462" s="239"/>
      <c r="B462" s="273" t="s">
        <v>110</v>
      </c>
      <c r="C462" s="580">
        <v>12.001724948835729</v>
      </c>
      <c r="D462" s="580">
        <v>79.203891374166119</v>
      </c>
      <c r="E462" s="580">
        <v>53.542055967573191</v>
      </c>
      <c r="F462" s="580">
        <v>59.180219552381082</v>
      </c>
      <c r="G462" s="203"/>
      <c r="H462" s="203"/>
      <c r="I462" s="203"/>
      <c r="J462" s="203"/>
    </row>
    <row r="463" spans="1:10" ht="14">
      <c r="A463" s="239"/>
      <c r="B463" s="273" t="s">
        <v>117</v>
      </c>
      <c r="C463" s="580">
        <v>50.714192304170098</v>
      </c>
      <c r="D463" s="580">
        <v>53.6935588450783</v>
      </c>
      <c r="E463" s="580">
        <v>52.448924834582947</v>
      </c>
      <c r="F463" s="580">
        <v>59.543138067684701</v>
      </c>
      <c r="G463" s="203"/>
      <c r="H463" s="203"/>
      <c r="I463" s="203"/>
      <c r="J463" s="203"/>
    </row>
    <row r="464" spans="1:10" ht="14">
      <c r="A464" s="239"/>
      <c r="B464" s="273" t="s">
        <v>112</v>
      </c>
      <c r="C464" s="580">
        <v>53.56849662613125</v>
      </c>
      <c r="D464" s="580">
        <v>54.453171932868067</v>
      </c>
      <c r="E464" s="580">
        <v>54.452928808702147</v>
      </c>
      <c r="F464" s="580">
        <v>58.765824782322483</v>
      </c>
      <c r="G464" s="203"/>
      <c r="H464" s="203"/>
      <c r="I464" s="203"/>
      <c r="J464" s="203"/>
    </row>
    <row r="465" spans="1:10" ht="14">
      <c r="A465" s="239"/>
      <c r="B465" s="273" t="s">
        <v>113</v>
      </c>
      <c r="C465" s="580">
        <v>52.112275306521241</v>
      </c>
      <c r="D465" s="580">
        <v>60.574605517923587</v>
      </c>
      <c r="E465" s="580">
        <v>54.517844112591249</v>
      </c>
      <c r="F465" s="580">
        <v>52.313732370867413</v>
      </c>
      <c r="G465" s="203"/>
      <c r="H465" s="203"/>
      <c r="I465" s="203"/>
      <c r="J465" s="203"/>
    </row>
    <row r="466" spans="1:10" ht="14">
      <c r="A466" s="239"/>
      <c r="B466" s="273" t="s">
        <v>114</v>
      </c>
      <c r="C466" s="580">
        <v>71.056423950144733</v>
      </c>
      <c r="D466" s="580">
        <v>52.472712974480189</v>
      </c>
      <c r="E466" s="580">
        <v>52.397185996997827</v>
      </c>
      <c r="F466" s="580">
        <v>75.963430313062688</v>
      </c>
      <c r="G466" s="203"/>
      <c r="H466" s="203"/>
      <c r="I466" s="203"/>
      <c r="J466" s="203"/>
    </row>
    <row r="467" spans="1:10" ht="14">
      <c r="A467" s="239"/>
      <c r="B467" s="273" t="s">
        <v>115</v>
      </c>
      <c r="C467" s="580">
        <v>66.867477476042836</v>
      </c>
      <c r="D467" s="580">
        <v>75.241928603033358</v>
      </c>
      <c r="E467" s="580">
        <v>58.14184033322983</v>
      </c>
      <c r="F467" s="580">
        <v>73.718522664366191</v>
      </c>
      <c r="G467" s="203"/>
      <c r="H467" s="203"/>
      <c r="I467" s="203"/>
      <c r="J467" s="203"/>
    </row>
    <row r="468" spans="1:10" ht="14">
      <c r="A468" s="240"/>
      <c r="B468" s="274" t="s">
        <v>116</v>
      </c>
      <c r="C468" s="582">
        <v>53.901603801826887</v>
      </c>
      <c r="D468" s="582">
        <v>73.215854179581825</v>
      </c>
      <c r="E468" s="582">
        <v>54.606672473691141</v>
      </c>
      <c r="F468" s="582">
        <v>68.825770937923409</v>
      </c>
      <c r="G468" s="203"/>
      <c r="H468" s="203"/>
      <c r="I468" s="203"/>
      <c r="J468" s="203"/>
    </row>
    <row r="469" spans="1:10" ht="14">
      <c r="A469" s="238">
        <v>2023</v>
      </c>
      <c r="B469" s="272" t="s">
        <v>105</v>
      </c>
      <c r="C469" s="578">
        <v>57.701976048947031</v>
      </c>
      <c r="D469" s="578">
        <v>53.006891821338982</v>
      </c>
      <c r="E469" s="578">
        <v>53.721149588855297</v>
      </c>
      <c r="F469" s="578">
        <v>67.449266338755208</v>
      </c>
      <c r="G469" s="203"/>
      <c r="H469" s="203"/>
      <c r="I469" s="203"/>
      <c r="J469" s="203"/>
    </row>
    <row r="470" spans="1:10" ht="14">
      <c r="A470" s="239"/>
      <c r="B470" s="273" t="s">
        <v>106</v>
      </c>
      <c r="C470" s="580">
        <v>52.669499078193738</v>
      </c>
      <c r="D470" s="580">
        <v>86.886562870687868</v>
      </c>
      <c r="E470" s="580">
        <v>60.678723677773213</v>
      </c>
      <c r="F470" s="580">
        <v>74.205454794872736</v>
      </c>
      <c r="G470" s="203"/>
      <c r="H470" s="203"/>
      <c r="I470" s="203"/>
      <c r="J470" s="203"/>
    </row>
    <row r="471" spans="1:10" ht="14">
      <c r="A471" s="239"/>
      <c r="B471" s="273" t="s">
        <v>107</v>
      </c>
      <c r="C471" s="580">
        <v>51.714744091008427</v>
      </c>
      <c r="D471" s="580">
        <v>53.54534077893625</v>
      </c>
      <c r="E471" s="580">
        <v>89.443756778323092</v>
      </c>
      <c r="F471" s="580">
        <v>67.37329994323045</v>
      </c>
      <c r="G471" s="203"/>
      <c r="H471" s="203"/>
      <c r="I471" s="203"/>
      <c r="J471" s="203"/>
    </row>
    <row r="472" spans="1:10" ht="14">
      <c r="A472" s="239"/>
      <c r="B472" s="273" t="s">
        <v>108</v>
      </c>
      <c r="C472" s="580">
        <v>62.869126675392202</v>
      </c>
      <c r="D472" s="580">
        <v>52.531992824629661</v>
      </c>
      <c r="E472" s="580">
        <v>87.270763650019617</v>
      </c>
      <c r="F472" s="580">
        <v>56.934759958587357</v>
      </c>
      <c r="G472" s="203"/>
      <c r="H472" s="203"/>
      <c r="I472" s="203"/>
      <c r="J472" s="203"/>
    </row>
    <row r="473" spans="1:10" ht="14">
      <c r="A473" s="239"/>
      <c r="B473" s="273" t="s">
        <v>109</v>
      </c>
      <c r="C473" s="580">
        <v>56.836569007482638</v>
      </c>
      <c r="D473" s="580">
        <v>50.959662961836422</v>
      </c>
      <c r="E473" s="580">
        <v>61.976294220631587</v>
      </c>
      <c r="F473" s="580">
        <v>53.697983945002044</v>
      </c>
      <c r="G473" s="203"/>
      <c r="H473" s="203"/>
      <c r="I473" s="203"/>
      <c r="J473" s="203"/>
    </row>
    <row r="474" spans="1:10" ht="14">
      <c r="A474" s="239"/>
      <c r="B474" s="273" t="s">
        <v>110</v>
      </c>
      <c r="C474" s="580">
        <v>63.241868430974293</v>
      </c>
      <c r="D474" s="580">
        <v>52.028832738683121</v>
      </c>
      <c r="E474" s="580">
        <v>86.12794760417006</v>
      </c>
      <c r="F474" s="580">
        <v>74.10799330477407</v>
      </c>
      <c r="G474" s="203"/>
      <c r="H474" s="203"/>
      <c r="I474" s="203"/>
      <c r="J474" s="203"/>
    </row>
    <row r="475" spans="1:10" ht="14">
      <c r="A475" s="239"/>
      <c r="B475" s="273" t="s">
        <v>117</v>
      </c>
      <c r="C475" s="580">
        <v>38.679172861786867</v>
      </c>
      <c r="D475" s="580">
        <v>51.578360202225063</v>
      </c>
      <c r="E475" s="580">
        <v>52.523102589275851</v>
      </c>
      <c r="F475" s="580">
        <v>79.485874034708189</v>
      </c>
      <c r="G475" s="203"/>
      <c r="H475" s="203"/>
      <c r="I475" s="203"/>
      <c r="J475" s="203"/>
    </row>
    <row r="476" spans="1:10" ht="14">
      <c r="A476" s="239"/>
      <c r="B476" s="273" t="s">
        <v>112</v>
      </c>
      <c r="C476" s="580">
        <v>51.271483253561023</v>
      </c>
      <c r="D476" s="580">
        <v>51.367306560095741</v>
      </c>
      <c r="E476" s="580">
        <v>52.549082854186388</v>
      </c>
      <c r="F476" s="580">
        <v>62.684686512296459</v>
      </c>
      <c r="G476" s="203"/>
      <c r="H476" s="203"/>
      <c r="I476" s="203"/>
      <c r="J476" s="203"/>
    </row>
    <row r="477" spans="1:10" ht="14">
      <c r="A477" s="239"/>
      <c r="B477" s="273" t="s">
        <v>113</v>
      </c>
      <c r="C477" s="580">
        <v>53.658262916578849</v>
      </c>
      <c r="D477" s="580">
        <v>59.722990079272712</v>
      </c>
      <c r="E477" s="580">
        <v>69.318348024578484</v>
      </c>
      <c r="F477" s="580">
        <v>52.647062399871331</v>
      </c>
      <c r="G477" s="203"/>
      <c r="H477" s="203"/>
      <c r="I477" s="203"/>
      <c r="J477" s="203"/>
    </row>
    <row r="478" spans="1:10" ht="14">
      <c r="A478" s="239"/>
      <c r="B478" s="273" t="s">
        <v>114</v>
      </c>
      <c r="C478" s="580">
        <v>54.835521141276899</v>
      </c>
      <c r="D478" s="580">
        <v>54.695839733562529</v>
      </c>
      <c r="E478" s="580">
        <v>76.017414252976025</v>
      </c>
      <c r="F478" s="580">
        <v>50.268265510451833</v>
      </c>
      <c r="G478" s="203"/>
      <c r="H478" s="203"/>
      <c r="I478" s="203"/>
      <c r="J478" s="203"/>
    </row>
    <row r="479" spans="1:10" ht="14">
      <c r="A479" s="239"/>
      <c r="B479" s="273" t="s">
        <v>115</v>
      </c>
      <c r="C479" s="580">
        <v>55.662098468937188</v>
      </c>
      <c r="D479" s="580">
        <v>86.529235926086741</v>
      </c>
      <c r="E479" s="580">
        <v>68.642062030319408</v>
      </c>
      <c r="F479" s="580">
        <v>57.04203103921332</v>
      </c>
      <c r="G479" s="203"/>
      <c r="H479" s="203"/>
      <c r="I479" s="203"/>
      <c r="J479" s="203"/>
    </row>
    <row r="480" spans="1:10" ht="14">
      <c r="A480" s="240"/>
      <c r="B480" s="274" t="s">
        <v>116</v>
      </c>
      <c r="C480" s="582">
        <v>44.395750455229027</v>
      </c>
      <c r="D480" s="582">
        <v>52.167132286026671</v>
      </c>
      <c r="E480" s="582">
        <v>84.898164477353333</v>
      </c>
      <c r="F480" s="582">
        <v>60.64486222455897</v>
      </c>
      <c r="G480" s="203"/>
      <c r="H480" s="203"/>
      <c r="I480" s="203"/>
      <c r="J480" s="203"/>
    </row>
    <row r="481" spans="1:10" ht="14">
      <c r="A481" s="238">
        <v>2024</v>
      </c>
      <c r="B481" s="272" t="s">
        <v>105</v>
      </c>
      <c r="C481" s="578">
        <v>49.514117097067214</v>
      </c>
      <c r="D481" s="578">
        <v>53.481688066075229</v>
      </c>
      <c r="E481" s="578">
        <v>54.579833919106733</v>
      </c>
      <c r="F481" s="578">
        <v>61.672164916110638</v>
      </c>
      <c r="G481" s="203"/>
      <c r="H481" s="203"/>
      <c r="I481" s="203"/>
      <c r="J481" s="203"/>
    </row>
    <row r="482" spans="1:10" ht="14">
      <c r="A482" s="239"/>
      <c r="B482" s="273" t="s">
        <v>106</v>
      </c>
      <c r="C482" s="580">
        <v>50.201889166885593</v>
      </c>
      <c r="D482" s="580">
        <v>53.750898660220187</v>
      </c>
      <c r="E482" s="580">
        <v>54.580401492641769</v>
      </c>
      <c r="F482" s="580">
        <v>64.580426864428574</v>
      </c>
      <c r="G482" s="203"/>
      <c r="H482" s="203"/>
      <c r="I482" s="203"/>
      <c r="J482" s="203"/>
    </row>
    <row r="483" spans="1:10" ht="14">
      <c r="A483" s="239"/>
      <c r="B483" s="273" t="s">
        <v>107</v>
      </c>
      <c r="C483" s="580">
        <v>57.925159843317878</v>
      </c>
      <c r="D483" s="580">
        <v>52.832459861899572</v>
      </c>
      <c r="E483" s="580">
        <v>51.849679559495868</v>
      </c>
      <c r="F483" s="580">
        <v>66.244924004793049</v>
      </c>
      <c r="G483" s="203"/>
      <c r="H483" s="203"/>
      <c r="I483" s="203"/>
      <c r="J483" s="203"/>
    </row>
    <row r="484" spans="1:10" ht="14">
      <c r="A484" s="239"/>
      <c r="B484" s="273" t="s">
        <v>108</v>
      </c>
      <c r="C484" s="598">
        <v>50.703417127777207</v>
      </c>
      <c r="D484" s="598">
        <v>52.307283110635417</v>
      </c>
      <c r="E484" s="598">
        <v>57.204617413907307</v>
      </c>
      <c r="F484" s="598">
        <v>62.513538546619053</v>
      </c>
      <c r="G484" s="203"/>
      <c r="H484" s="203"/>
      <c r="I484" s="203"/>
      <c r="J484" s="203"/>
    </row>
    <row r="485" spans="1:10" ht="14">
      <c r="A485" s="239"/>
      <c r="B485" s="273" t="s">
        <v>109</v>
      </c>
      <c r="C485" s="580">
        <v>51.034148929973341</v>
      </c>
      <c r="D485" s="580">
        <v>51.31223338860913</v>
      </c>
      <c r="E485" s="580">
        <v>51.435231813149883</v>
      </c>
      <c r="F485" s="580">
        <v>61.921343807148851</v>
      </c>
      <c r="G485" s="203"/>
      <c r="H485" s="203"/>
      <c r="I485" s="203"/>
      <c r="J485" s="203"/>
    </row>
    <row r="486" spans="1:10" ht="14">
      <c r="A486" s="239"/>
      <c r="B486" s="273" t="s">
        <v>110</v>
      </c>
      <c r="C486" s="580">
        <v>50.446258960386793</v>
      </c>
      <c r="D486" s="580">
        <v>51.553391171206663</v>
      </c>
      <c r="E486" s="580">
        <v>51.922676383579422</v>
      </c>
      <c r="F486" s="580">
        <v>61.028928665397849</v>
      </c>
      <c r="G486" s="203"/>
      <c r="H486" s="203"/>
      <c r="I486" s="203"/>
      <c r="J486" s="203"/>
    </row>
    <row r="487" spans="1:10" ht="14">
      <c r="A487" s="239"/>
      <c r="B487" s="273" t="s">
        <v>117</v>
      </c>
      <c r="C487" s="580">
        <v>52.847736667768253</v>
      </c>
      <c r="D487" s="580">
        <v>52.493731966644198</v>
      </c>
      <c r="E487" s="580">
        <v>51.453779590072401</v>
      </c>
      <c r="F487" s="580">
        <v>65.423364514396127</v>
      </c>
      <c r="G487" s="203"/>
      <c r="H487" s="203"/>
      <c r="I487" s="203"/>
      <c r="J487" s="203"/>
    </row>
    <row r="488" spans="1:10" ht="14">
      <c r="A488" s="239"/>
      <c r="B488" s="273" t="s">
        <v>112</v>
      </c>
      <c r="C488" s="580">
        <v>49.531433910554767</v>
      </c>
      <c r="D488" s="580">
        <v>51.706852595077009</v>
      </c>
      <c r="E488" s="580">
        <v>52.695821953143728</v>
      </c>
      <c r="F488" s="580">
        <v>63.546079867987842</v>
      </c>
      <c r="G488" s="203"/>
      <c r="H488" s="203"/>
      <c r="I488" s="203"/>
      <c r="J488" s="203"/>
    </row>
    <row r="489" spans="1:10" ht="14">
      <c r="A489" s="239"/>
      <c r="B489" s="273" t="s">
        <v>113</v>
      </c>
      <c r="C489" s="580">
        <v>53.305993787250209</v>
      </c>
      <c r="D489" s="580">
        <v>52.112353795065317</v>
      </c>
      <c r="E489" s="580">
        <v>51.594141212982521</v>
      </c>
      <c r="F489" s="580">
        <v>61.109894247140041</v>
      </c>
      <c r="G489" s="203"/>
      <c r="H489" s="203"/>
      <c r="I489" s="203"/>
      <c r="J489" s="203"/>
    </row>
    <row r="490" spans="1:10" ht="14">
      <c r="A490" s="239"/>
      <c r="B490" s="273" t="s">
        <v>114</v>
      </c>
      <c r="C490" s="580">
        <v>52.815654348297123</v>
      </c>
      <c r="D490" s="580">
        <v>50.793969944370069</v>
      </c>
      <c r="E490" s="580">
        <v>51.619168180790233</v>
      </c>
      <c r="F490" s="580">
        <v>62.988709007372798</v>
      </c>
      <c r="G490" s="203"/>
      <c r="H490" s="203"/>
      <c r="I490" s="203"/>
      <c r="J490" s="203"/>
    </row>
    <row r="491" spans="1:10" ht="14">
      <c r="A491" s="239"/>
      <c r="B491" s="273" t="s">
        <v>115</v>
      </c>
      <c r="C491" s="580">
        <v>52.629678571068098</v>
      </c>
      <c r="D491" s="580">
        <v>52.115692416553102</v>
      </c>
      <c r="E491" s="580">
        <v>51.265650182246198</v>
      </c>
      <c r="F491" s="580">
        <v>59.04544610920032</v>
      </c>
      <c r="G491" s="203"/>
      <c r="H491" s="203"/>
      <c r="I491" s="203"/>
      <c r="J491" s="203"/>
    </row>
    <row r="492" spans="1:10" ht="14">
      <c r="A492" s="240"/>
      <c r="B492" s="274" t="s">
        <v>116</v>
      </c>
      <c r="C492" s="582">
        <v>50.520305604459161</v>
      </c>
      <c r="D492" s="582">
        <v>51.727581508020407</v>
      </c>
      <c r="E492" s="582">
        <v>49.034056529152522</v>
      </c>
      <c r="F492" s="582">
        <v>63.674776555418923</v>
      </c>
      <c r="G492" s="203"/>
      <c r="H492" s="203"/>
      <c r="I492" s="203"/>
      <c r="J492" s="203"/>
    </row>
    <row r="493" spans="1:10" ht="14">
      <c r="A493" s="238">
        <v>2025</v>
      </c>
      <c r="B493" s="272" t="s">
        <v>105</v>
      </c>
      <c r="C493" s="578">
        <v>50.459603283938932</v>
      </c>
      <c r="D493" s="578">
        <v>51.660644623856008</v>
      </c>
      <c r="E493" s="578">
        <v>50.366439919242161</v>
      </c>
      <c r="F493" s="578">
        <v>66.198928766381428</v>
      </c>
      <c r="G493" s="203"/>
      <c r="H493" s="203"/>
      <c r="I493" s="203"/>
      <c r="J493" s="203"/>
    </row>
    <row r="494" spans="1:10" ht="14">
      <c r="A494" s="239"/>
      <c r="B494" s="273" t="s">
        <v>106</v>
      </c>
      <c r="C494" s="580">
        <v>50.588738250931357</v>
      </c>
      <c r="D494" s="580">
        <v>51.688619777354809</v>
      </c>
      <c r="E494" s="580">
        <v>50.315562949887273</v>
      </c>
      <c r="F494" s="580">
        <v>64.404943718355398</v>
      </c>
      <c r="G494" s="203"/>
      <c r="H494" s="203"/>
      <c r="I494" s="203"/>
      <c r="J494" s="203"/>
    </row>
    <row r="495" spans="1:10" ht="14">
      <c r="A495" s="239"/>
      <c r="B495" s="273" t="s">
        <v>107</v>
      </c>
      <c r="C495" s="580">
        <v>50.085573666479164</v>
      </c>
      <c r="D495" s="580">
        <v>52.147153876673421</v>
      </c>
      <c r="E495" s="580">
        <v>51.51806640604223</v>
      </c>
      <c r="F495" s="580">
        <v>66.419987685048397</v>
      </c>
      <c r="G495" s="203"/>
      <c r="H495" s="203"/>
      <c r="I495" s="203"/>
      <c r="J495" s="203"/>
    </row>
    <row r="496" spans="1:10" ht="14">
      <c r="A496" s="239"/>
      <c r="B496" s="273" t="s">
        <v>108</v>
      </c>
      <c r="C496" s="580">
        <v>50.859434373559907</v>
      </c>
      <c r="D496" s="580">
        <v>51.813130319076848</v>
      </c>
      <c r="E496" s="580">
        <v>51.269314161390369</v>
      </c>
      <c r="F496" s="580">
        <v>47.293345380862391</v>
      </c>
      <c r="G496" s="203"/>
      <c r="H496" s="203"/>
      <c r="I496" s="203"/>
      <c r="J496" s="203"/>
    </row>
    <row r="497" spans="1:10" ht="14">
      <c r="A497" s="239"/>
      <c r="B497" s="273" t="s">
        <v>109</v>
      </c>
      <c r="C497" s="580">
        <v>40.326959036919789</v>
      </c>
      <c r="D497" s="580">
        <v>53.408115277404939</v>
      </c>
      <c r="E497" s="580">
        <v>50.458371117578899</v>
      </c>
      <c r="F497" s="580">
        <v>63.005465536065948</v>
      </c>
      <c r="G497" s="203"/>
      <c r="H497" s="203"/>
      <c r="I497" s="203"/>
      <c r="J497" s="203"/>
    </row>
    <row r="498" spans="1:10" ht="14">
      <c r="A498" s="239"/>
      <c r="B498" s="273" t="s">
        <v>110</v>
      </c>
      <c r="C498" s="594">
        <v>51.40895739615609</v>
      </c>
      <c r="D498" s="594">
        <v>51.819295623935439</v>
      </c>
      <c r="E498" s="594">
        <v>51.391212981799342</v>
      </c>
      <c r="F498" s="594">
        <v>61.59603372395582</v>
      </c>
      <c r="G498" s="203"/>
      <c r="H498" s="203"/>
      <c r="I498" s="203"/>
      <c r="J498" s="203"/>
    </row>
    <row r="499" spans="1:10" ht="14">
      <c r="A499" s="239"/>
      <c r="B499" s="273" t="s">
        <v>117</v>
      </c>
      <c r="C499" s="594">
        <v>51.779853848255847</v>
      </c>
      <c r="D499" s="594">
        <v>53.682751429287727</v>
      </c>
      <c r="E499" s="594">
        <v>62.646959367757027</v>
      </c>
      <c r="F499" s="594">
        <v>63.109342814867993</v>
      </c>
      <c r="G499" s="203"/>
      <c r="H499" s="203"/>
      <c r="I499" s="203"/>
      <c r="J499" s="203"/>
    </row>
    <row r="500" spans="1:10" ht="14">
      <c r="A500" s="239"/>
      <c r="B500" s="273" t="s">
        <v>112</v>
      </c>
      <c r="C500" s="594">
        <v>57.286478066633407</v>
      </c>
      <c r="D500" s="594">
        <v>51.820456357331267</v>
      </c>
      <c r="E500" s="594">
        <v>51.710649666142267</v>
      </c>
      <c r="F500" s="594">
        <v>42.995393914974713</v>
      </c>
      <c r="G500" s="203"/>
      <c r="H500" s="203"/>
      <c r="I500" s="203"/>
      <c r="J500" s="203"/>
    </row>
    <row r="501" spans="1:10" ht="14">
      <c r="A501" s="239"/>
      <c r="B501" s="273" t="s">
        <v>113</v>
      </c>
      <c r="C501" s="594">
        <v>50.838686903708712</v>
      </c>
      <c r="D501" s="594">
        <v>52.055528271624148</v>
      </c>
      <c r="E501" s="594">
        <v>66.49102996679143</v>
      </c>
      <c r="F501" s="594">
        <v>47.337760019866813</v>
      </c>
      <c r="G501" s="203"/>
      <c r="H501" s="203"/>
      <c r="I501" s="203"/>
      <c r="J501" s="203"/>
    </row>
    <row r="502" spans="1:10" ht="14">
      <c r="A502" s="239"/>
      <c r="B502" s="273" t="s">
        <v>114</v>
      </c>
      <c r="C502" s="594">
        <v>56.451897722974081</v>
      </c>
      <c r="D502" s="594">
        <v>52.725170268909068</v>
      </c>
      <c r="E502" s="594">
        <v>50.929760442478887</v>
      </c>
      <c r="F502" s="594">
        <v>44.038016294725459</v>
      </c>
      <c r="G502" s="203"/>
      <c r="H502" s="203"/>
      <c r="I502" s="203"/>
      <c r="J502" s="203"/>
    </row>
    <row r="503" spans="1:10" ht="14">
      <c r="A503" s="239"/>
      <c r="B503" s="273" t="s">
        <v>115</v>
      </c>
      <c r="C503" s="594">
        <v>50.725482215781597</v>
      </c>
      <c r="D503" s="594">
        <v>52.012157117005543</v>
      </c>
      <c r="E503" s="594">
        <v>51.707076537011851</v>
      </c>
      <c r="F503" s="594">
        <v>47.327260642262061</v>
      </c>
      <c r="G503" s="203"/>
      <c r="H503" s="203"/>
      <c r="I503" s="203"/>
      <c r="J503" s="203"/>
    </row>
    <row r="504" spans="1:10" ht="14">
      <c r="A504" s="240"/>
      <c r="B504" s="274" t="s">
        <v>116</v>
      </c>
      <c r="C504" s="595">
        <v>50.083120511966207</v>
      </c>
      <c r="D504" s="595">
        <v>49.745994545966838</v>
      </c>
      <c r="E504" s="595">
        <v>51.024176923558699</v>
      </c>
      <c r="F504" s="595">
        <v>47.914884780438094</v>
      </c>
      <c r="G504" s="203"/>
      <c r="H504" s="203"/>
      <c r="I504" s="203"/>
      <c r="J504" s="203"/>
    </row>
    <row r="505" spans="1:10" ht="14">
      <c r="A505" s="238">
        <v>2026</v>
      </c>
      <c r="B505" s="272" t="s">
        <v>105</v>
      </c>
      <c r="C505" s="686">
        <v>50.099211111801772</v>
      </c>
      <c r="D505" s="686">
        <v>51.140285974297782</v>
      </c>
      <c r="E505" s="686">
        <v>50.478136906772079</v>
      </c>
      <c r="F505" s="686">
        <v>39.823192833319048</v>
      </c>
      <c r="G505" s="203"/>
      <c r="H505" s="203"/>
      <c r="I505" s="203"/>
      <c r="J505" s="203"/>
    </row>
    <row r="506" spans="1:10" ht="14">
      <c r="A506" s="239"/>
      <c r="B506" s="273" t="s">
        <v>106</v>
      </c>
      <c r="C506" s="594">
        <v>51.166172689363769</v>
      </c>
      <c r="D506" s="594">
        <v>52.34539070577641</v>
      </c>
      <c r="E506" s="594">
        <v>51.076906724846772</v>
      </c>
      <c r="F506" s="594">
        <v>53.790757611222737</v>
      </c>
      <c r="G506" s="203"/>
      <c r="H506" s="203"/>
      <c r="I506" s="203"/>
      <c r="J506" s="203"/>
    </row>
    <row r="507" spans="1:10" ht="14">
      <c r="A507" s="240"/>
      <c r="B507" s="274" t="s">
        <v>107</v>
      </c>
      <c r="C507" s="595">
        <v>50.075172596935531</v>
      </c>
      <c r="D507" s="595">
        <v>66.933669360348134</v>
      </c>
      <c r="E507" s="595">
        <v>42.526094610256322</v>
      </c>
      <c r="F507" s="595">
        <v>45.92137729735051</v>
      </c>
      <c r="G507" s="203"/>
      <c r="H507" s="203"/>
      <c r="I507" s="203"/>
      <c r="J507" s="203"/>
    </row>
    <row r="508" spans="1:10">
      <c r="G508" s="203"/>
      <c r="H508" s="203"/>
      <c r="I508" s="203"/>
      <c r="J508" s="203"/>
    </row>
    <row r="509" spans="1:10" ht="14">
      <c r="A509" s="823" t="s">
        <v>369</v>
      </c>
      <c r="B509" s="823"/>
      <c r="C509" s="823"/>
      <c r="D509" s="823"/>
      <c r="E509" s="823"/>
      <c r="F509" s="823"/>
      <c r="G509" s="203"/>
      <c r="H509" s="203"/>
      <c r="I509" s="203"/>
      <c r="J509" s="203"/>
    </row>
    <row r="510" spans="1:10" ht="14">
      <c r="A510" s="717" t="s">
        <v>98</v>
      </c>
      <c r="B510" s="718"/>
      <c r="C510" s="824" t="s">
        <v>358</v>
      </c>
      <c r="D510" s="825"/>
      <c r="E510" s="825"/>
      <c r="F510" s="826"/>
      <c r="G510" s="203"/>
      <c r="H510" s="203"/>
      <c r="I510" s="203"/>
      <c r="J510" s="203"/>
    </row>
    <row r="511" spans="1:10" ht="45" customHeight="1">
      <c r="A511" s="751"/>
      <c r="B511" s="752"/>
      <c r="C511" s="277" t="s">
        <v>359</v>
      </c>
      <c r="D511" s="277" t="s">
        <v>360</v>
      </c>
      <c r="E511" s="277" t="s">
        <v>361</v>
      </c>
      <c r="F511" s="376" t="s">
        <v>362</v>
      </c>
      <c r="G511" s="203"/>
      <c r="H511" s="203"/>
      <c r="I511" s="203"/>
      <c r="J511" s="203"/>
    </row>
    <row r="512" spans="1:10" ht="14">
      <c r="A512" s="238">
        <v>2020</v>
      </c>
      <c r="B512" s="247" t="s">
        <v>112</v>
      </c>
      <c r="C512" s="578">
        <v>54.785472832092438</v>
      </c>
      <c r="D512" s="578">
        <v>80.745363854780067</v>
      </c>
      <c r="E512" s="578">
        <v>45.461314981749332</v>
      </c>
      <c r="F512" s="579">
        <v>53.131237435144833</v>
      </c>
      <c r="G512" s="203"/>
      <c r="H512" s="203"/>
      <c r="I512" s="203"/>
      <c r="J512" s="203"/>
    </row>
    <row r="513" spans="1:10" ht="14">
      <c r="A513" s="239"/>
      <c r="B513" s="273" t="s">
        <v>113</v>
      </c>
      <c r="C513" s="580">
        <v>53.613677699364409</v>
      </c>
      <c r="D513" s="580">
        <v>51.755384473141618</v>
      </c>
      <c r="E513" s="580">
        <v>56.463820059071878</v>
      </c>
      <c r="F513" s="581">
        <v>51.972562976872233</v>
      </c>
      <c r="G513" s="203"/>
      <c r="H513" s="203"/>
      <c r="I513" s="203"/>
      <c r="J513" s="203"/>
    </row>
    <row r="514" spans="1:10" ht="14">
      <c r="A514" s="239"/>
      <c r="B514" s="273" t="s">
        <v>114</v>
      </c>
      <c r="C514" s="580">
        <v>50.18625507483754</v>
      </c>
      <c r="D514" s="580">
        <v>51.219042613664968</v>
      </c>
      <c r="E514" s="580">
        <v>49.783969568505483</v>
      </c>
      <c r="F514" s="581">
        <v>53.539849744124538</v>
      </c>
      <c r="G514" s="203"/>
      <c r="H514" s="203"/>
      <c r="I514" s="203"/>
      <c r="J514" s="203"/>
    </row>
    <row r="515" spans="1:10" ht="14">
      <c r="A515" s="239"/>
      <c r="B515" s="273" t="s">
        <v>115</v>
      </c>
      <c r="C515" s="580">
        <v>60.041140725677387</v>
      </c>
      <c r="D515" s="580">
        <v>53.71704027848341</v>
      </c>
      <c r="E515" s="580">
        <v>53.699674905211019</v>
      </c>
      <c r="F515" s="581">
        <v>51.5776859084162</v>
      </c>
      <c r="G515" s="203"/>
      <c r="H515" s="203"/>
      <c r="I515" s="203"/>
      <c r="J515" s="203"/>
    </row>
    <row r="516" spans="1:10" ht="14">
      <c r="A516" s="239"/>
      <c r="B516" s="274" t="s">
        <v>116</v>
      </c>
      <c r="C516" s="582">
        <v>61.27663692089785</v>
      </c>
      <c r="D516" s="582">
        <v>53.56392059342955</v>
      </c>
      <c r="E516" s="582">
        <v>58.399330023955628</v>
      </c>
      <c r="F516" s="583">
        <v>59.833522512473913</v>
      </c>
      <c r="G516" s="203"/>
      <c r="H516" s="203"/>
      <c r="I516" s="203"/>
      <c r="J516" s="203"/>
    </row>
    <row r="517" spans="1:10" ht="14">
      <c r="A517" s="597">
        <v>2021</v>
      </c>
      <c r="B517" s="272" t="s">
        <v>105</v>
      </c>
      <c r="C517" s="578">
        <v>48.419834619202831</v>
      </c>
      <c r="D517" s="578">
        <v>32.30269119998578</v>
      </c>
      <c r="E517" s="578">
        <v>62.697511107955783</v>
      </c>
      <c r="F517" s="579">
        <v>37.510734727365453</v>
      </c>
      <c r="G517" s="203"/>
      <c r="H517" s="203"/>
      <c r="I517" s="203"/>
      <c r="J517" s="203"/>
    </row>
    <row r="518" spans="1:10" ht="14">
      <c r="A518" s="284"/>
      <c r="B518" s="273" t="s">
        <v>106</v>
      </c>
      <c r="C518" s="580">
        <v>50.576353606236488</v>
      </c>
      <c r="D518" s="580">
        <v>54.127002788539443</v>
      </c>
      <c r="E518" s="580">
        <v>51.345798335125693</v>
      </c>
      <c r="F518" s="581">
        <v>56.662077896415873</v>
      </c>
      <c r="G518" s="203"/>
      <c r="H518" s="203"/>
      <c r="I518" s="203"/>
      <c r="J518" s="203"/>
    </row>
    <row r="519" spans="1:10" ht="14">
      <c r="A519" s="284"/>
      <c r="B519" s="273" t="s">
        <v>107</v>
      </c>
      <c r="C519" s="580">
        <v>87.375370128979171</v>
      </c>
      <c r="D519" s="580">
        <v>87.534203757620617</v>
      </c>
      <c r="E519" s="580">
        <v>61.729024977119252</v>
      </c>
      <c r="F519" s="581">
        <v>52.332450451047848</v>
      </c>
      <c r="G519" s="203"/>
      <c r="H519" s="203"/>
      <c r="I519" s="203"/>
      <c r="J519" s="203"/>
    </row>
    <row r="520" spans="1:10" ht="14">
      <c r="A520" s="284"/>
      <c r="B520" s="273" t="s">
        <v>108</v>
      </c>
      <c r="C520" s="580">
        <v>86.755950701973021</v>
      </c>
      <c r="D520" s="580">
        <v>66.103885839709989</v>
      </c>
      <c r="E520" s="580">
        <v>66.53238610206607</v>
      </c>
      <c r="F520" s="581">
        <v>60.262536450180711</v>
      </c>
      <c r="G520" s="203"/>
      <c r="H520" s="203"/>
      <c r="I520" s="203"/>
      <c r="J520" s="203"/>
    </row>
    <row r="521" spans="1:10" ht="14">
      <c r="A521" s="284"/>
      <c r="B521" s="273" t="s">
        <v>109</v>
      </c>
      <c r="C521" s="580">
        <v>52.602889407535713</v>
      </c>
      <c r="D521" s="580">
        <v>20.141183450296001</v>
      </c>
      <c r="E521" s="580">
        <v>72.497872427390362</v>
      </c>
      <c r="F521" s="581">
        <v>51.131316222381983</v>
      </c>
      <c r="G521" s="203"/>
      <c r="H521" s="203"/>
      <c r="I521" s="203"/>
      <c r="J521" s="203"/>
    </row>
    <row r="522" spans="1:10" ht="14">
      <c r="A522" s="284"/>
      <c r="B522" s="273" t="s">
        <v>110</v>
      </c>
      <c r="C522" s="580">
        <v>46.906719586984373</v>
      </c>
      <c r="D522" s="580">
        <v>52.564260517478708</v>
      </c>
      <c r="E522" s="580">
        <v>52.055510899036541</v>
      </c>
      <c r="F522" s="581">
        <v>53.860574647149008</v>
      </c>
      <c r="G522" s="203"/>
      <c r="H522" s="203"/>
      <c r="I522" s="203"/>
      <c r="J522" s="203"/>
    </row>
    <row r="523" spans="1:10" ht="14">
      <c r="A523" s="284"/>
      <c r="B523" s="273" t="s">
        <v>117</v>
      </c>
      <c r="C523" s="580">
        <v>53.121074876678371</v>
      </c>
      <c r="D523" s="580">
        <v>53.782069237525079</v>
      </c>
      <c r="E523" s="580">
        <v>62.230935230836103</v>
      </c>
      <c r="F523" s="581">
        <v>60.602058100723532</v>
      </c>
      <c r="G523" s="203"/>
      <c r="H523" s="203"/>
      <c r="I523" s="203"/>
      <c r="J523" s="203"/>
    </row>
    <row r="524" spans="1:10" ht="14">
      <c r="A524" s="284"/>
      <c r="B524" s="273" t="s">
        <v>112</v>
      </c>
      <c r="C524" s="580">
        <v>49.465149995627932</v>
      </c>
      <c r="D524" s="580">
        <v>51.371637424006373</v>
      </c>
      <c r="E524" s="580">
        <v>61.273560810295884</v>
      </c>
      <c r="F524" s="581">
        <v>69.06775691577424</v>
      </c>
      <c r="G524" s="203"/>
      <c r="H524" s="203"/>
      <c r="I524" s="203"/>
      <c r="J524" s="203"/>
    </row>
    <row r="525" spans="1:10" ht="14">
      <c r="A525" s="284"/>
      <c r="B525" s="273" t="s">
        <v>113</v>
      </c>
      <c r="C525" s="580">
        <v>48.970065919004931</v>
      </c>
      <c r="D525" s="580">
        <v>50.586138468533541</v>
      </c>
      <c r="E525" s="580">
        <v>54.403461194086198</v>
      </c>
      <c r="F525" s="581">
        <v>77.553162074262019</v>
      </c>
      <c r="G525" s="203"/>
      <c r="H525" s="203"/>
      <c r="I525" s="203"/>
      <c r="J525" s="203"/>
    </row>
    <row r="526" spans="1:10" ht="14">
      <c r="A526" s="284"/>
      <c r="B526" s="273" t="s">
        <v>114</v>
      </c>
      <c r="C526" s="580">
        <v>17.071595872625039</v>
      </c>
      <c r="D526" s="580">
        <v>51.095517678781391</v>
      </c>
      <c r="E526" s="580">
        <v>51.886392359610873</v>
      </c>
      <c r="F526" s="581">
        <v>74.080308217159839</v>
      </c>
      <c r="G526" s="203"/>
      <c r="H526" s="203"/>
      <c r="I526" s="203"/>
      <c r="J526" s="203"/>
    </row>
    <row r="527" spans="1:10" ht="14">
      <c r="A527" s="239"/>
      <c r="B527" s="273" t="s">
        <v>115</v>
      </c>
      <c r="C527" s="580">
        <v>52.402467459185623</v>
      </c>
      <c r="D527" s="601">
        <v>32.773991293728677</v>
      </c>
      <c r="E527" s="580">
        <v>55.866694434421838</v>
      </c>
      <c r="F527" s="581">
        <v>64.778990214770886</v>
      </c>
      <c r="G527" s="203"/>
      <c r="H527" s="203"/>
      <c r="I527" s="203"/>
      <c r="J527" s="203"/>
    </row>
    <row r="528" spans="1:10" ht="14">
      <c r="A528" s="285"/>
      <c r="B528" s="274" t="s">
        <v>116</v>
      </c>
      <c r="C528" s="582">
        <v>17.115901361872481</v>
      </c>
      <c r="D528" s="582">
        <v>41.923505554101979</v>
      </c>
      <c r="E528" s="582">
        <v>67.32041037294448</v>
      </c>
      <c r="F528" s="583">
        <v>68.804962422883463</v>
      </c>
      <c r="G528" s="203"/>
      <c r="H528" s="203"/>
      <c r="I528" s="203"/>
      <c r="J528" s="203"/>
    </row>
    <row r="529" spans="1:10" ht="14">
      <c r="A529" s="238">
        <v>2022</v>
      </c>
      <c r="B529" s="272" t="s">
        <v>105</v>
      </c>
      <c r="C529" s="578">
        <v>53.63278427873697</v>
      </c>
      <c r="D529" s="578">
        <v>65.337639020154469</v>
      </c>
      <c r="E529" s="578">
        <v>56.598403012360563</v>
      </c>
      <c r="F529" s="578">
        <v>47.70699652318627</v>
      </c>
      <c r="G529" s="203"/>
      <c r="H529" s="203"/>
      <c r="I529" s="203"/>
      <c r="J529" s="203"/>
    </row>
    <row r="530" spans="1:10" ht="14">
      <c r="A530" s="239"/>
      <c r="B530" s="273" t="s">
        <v>106</v>
      </c>
      <c r="C530" s="580">
        <v>17.236993977792551</v>
      </c>
      <c r="D530" s="580">
        <v>65.138408853275095</v>
      </c>
      <c r="E530" s="580">
        <v>51.576046821764372</v>
      </c>
      <c r="F530" s="580">
        <v>68.174767332079711</v>
      </c>
      <c r="G530" s="203"/>
      <c r="H530" s="203"/>
      <c r="I530" s="203"/>
      <c r="J530" s="203"/>
    </row>
    <row r="531" spans="1:10" ht="14">
      <c r="A531" s="239"/>
      <c r="B531" s="273" t="s">
        <v>107</v>
      </c>
      <c r="C531" s="580">
        <v>52.627937647577241</v>
      </c>
      <c r="D531" s="580">
        <v>54.679427325673707</v>
      </c>
      <c r="E531" s="580">
        <v>54.194482002693547</v>
      </c>
      <c r="F531" s="580">
        <v>61.208806533433517</v>
      </c>
      <c r="G531" s="203"/>
      <c r="H531" s="203"/>
      <c r="I531" s="203"/>
      <c r="J531" s="203"/>
    </row>
    <row r="532" spans="1:10" ht="14">
      <c r="A532" s="239"/>
      <c r="B532" s="273" t="s">
        <v>108</v>
      </c>
      <c r="C532" s="580">
        <v>61.84091943402828</v>
      </c>
      <c r="D532" s="580">
        <v>80.908108119411807</v>
      </c>
      <c r="E532" s="580">
        <v>54.014878134380709</v>
      </c>
      <c r="F532" s="580">
        <v>54.719063139006437</v>
      </c>
      <c r="G532" s="203"/>
      <c r="H532" s="203"/>
      <c r="I532" s="203"/>
      <c r="J532" s="203"/>
    </row>
    <row r="533" spans="1:10" ht="14">
      <c r="A533" s="239"/>
      <c r="B533" s="273" t="s">
        <v>109</v>
      </c>
      <c r="C533" s="580">
        <v>53.181233905212707</v>
      </c>
      <c r="D533" s="580">
        <v>28.1289764802865</v>
      </c>
      <c r="E533" s="580">
        <v>54.170361493997518</v>
      </c>
      <c r="F533" s="580">
        <v>46.91328238634312</v>
      </c>
      <c r="G533" s="203"/>
      <c r="H533" s="203"/>
      <c r="I533" s="203"/>
      <c r="J533" s="203"/>
    </row>
    <row r="534" spans="1:10" ht="14">
      <c r="A534" s="239"/>
      <c r="B534" s="273" t="s">
        <v>110</v>
      </c>
      <c r="C534" s="580">
        <v>51.3049078412105</v>
      </c>
      <c r="D534" s="580">
        <v>51.389735487106663</v>
      </c>
      <c r="E534" s="580">
        <v>22.282435604796461</v>
      </c>
      <c r="F534" s="580">
        <v>70.468774634995484</v>
      </c>
      <c r="G534" s="203"/>
      <c r="H534" s="203"/>
      <c r="I534" s="203"/>
      <c r="J534" s="203"/>
    </row>
    <row r="535" spans="1:10" ht="14">
      <c r="A535" s="239"/>
      <c r="B535" s="273" t="s">
        <v>117</v>
      </c>
      <c r="C535" s="580">
        <v>66.087191515825566</v>
      </c>
      <c r="D535" s="580">
        <v>53.359531086045962</v>
      </c>
      <c r="E535" s="580">
        <v>57.86368662704929</v>
      </c>
      <c r="F535" s="580">
        <v>67.637026371128073</v>
      </c>
      <c r="G535" s="203"/>
      <c r="H535" s="203"/>
      <c r="I535" s="203"/>
      <c r="J535" s="203"/>
    </row>
    <row r="536" spans="1:10" ht="14">
      <c r="A536" s="239"/>
      <c r="B536" s="273" t="s">
        <v>112</v>
      </c>
      <c r="C536" s="580">
        <v>50.64395702995278</v>
      </c>
      <c r="D536" s="580">
        <v>79.045392172849162</v>
      </c>
      <c r="E536" s="580">
        <v>19.992030153108409</v>
      </c>
      <c r="F536" s="580">
        <v>58.437979852878662</v>
      </c>
      <c r="G536" s="203"/>
      <c r="H536" s="203"/>
      <c r="I536" s="203"/>
      <c r="J536" s="203"/>
    </row>
    <row r="537" spans="1:10" ht="14">
      <c r="A537" s="239"/>
      <c r="B537" s="273" t="s">
        <v>113</v>
      </c>
      <c r="C537" s="580">
        <v>51.526072378454771</v>
      </c>
      <c r="D537" s="580">
        <v>86.36915640506038</v>
      </c>
      <c r="E537" s="580">
        <v>89.315894483901303</v>
      </c>
      <c r="F537" s="580">
        <v>64.809120935033164</v>
      </c>
      <c r="G537" s="203"/>
      <c r="H537" s="203"/>
      <c r="I537" s="203"/>
      <c r="J537" s="203"/>
    </row>
    <row r="538" spans="1:10" ht="14">
      <c r="A538" s="239"/>
      <c r="B538" s="273" t="s">
        <v>114</v>
      </c>
      <c r="C538" s="580">
        <v>65.532260323820012</v>
      </c>
      <c r="D538" s="580">
        <v>53.734728839875018</v>
      </c>
      <c r="E538" s="580">
        <v>54.855209487471882</v>
      </c>
      <c r="F538" s="580">
        <v>45.747012432805029</v>
      </c>
      <c r="G538" s="203"/>
      <c r="H538" s="203"/>
      <c r="I538" s="203"/>
      <c r="J538" s="203"/>
    </row>
    <row r="539" spans="1:10" ht="14">
      <c r="A539" s="239"/>
      <c r="B539" s="273" t="s">
        <v>115</v>
      </c>
      <c r="C539" s="580">
        <v>68.910103753173928</v>
      </c>
      <c r="D539" s="580">
        <v>81.291929064157472</v>
      </c>
      <c r="E539" s="580">
        <v>58.566748381301373</v>
      </c>
      <c r="F539" s="580">
        <v>54.827782364382927</v>
      </c>
      <c r="G539" s="203"/>
      <c r="H539" s="203"/>
      <c r="I539" s="203"/>
      <c r="J539" s="203"/>
    </row>
    <row r="540" spans="1:10" ht="14">
      <c r="A540" s="240"/>
      <c r="B540" s="274" t="s">
        <v>116</v>
      </c>
      <c r="C540" s="582">
        <v>56.597866321618852</v>
      </c>
      <c r="D540" s="582">
        <v>53.769915553953737</v>
      </c>
      <c r="E540" s="582">
        <v>55.693122139251493</v>
      </c>
      <c r="F540" s="582">
        <v>66.311834952659709</v>
      </c>
      <c r="G540" s="203"/>
      <c r="H540" s="203"/>
      <c r="I540" s="203"/>
      <c r="J540" s="203"/>
    </row>
    <row r="541" spans="1:10" ht="14">
      <c r="A541" s="238">
        <v>2023</v>
      </c>
      <c r="B541" s="272" t="s">
        <v>105</v>
      </c>
      <c r="C541" s="578">
        <v>74.73500721456449</v>
      </c>
      <c r="D541" s="578">
        <v>54.13489918779527</v>
      </c>
      <c r="E541" s="578">
        <v>57.011781994608221</v>
      </c>
      <c r="F541" s="578">
        <v>43.357742872390887</v>
      </c>
      <c r="G541" s="203"/>
      <c r="H541" s="203"/>
      <c r="I541" s="203"/>
      <c r="J541" s="203"/>
    </row>
    <row r="542" spans="1:10" ht="14">
      <c r="A542" s="239"/>
      <c r="B542" s="273" t="s">
        <v>106</v>
      </c>
      <c r="C542" s="580">
        <v>70.56182168848035</v>
      </c>
      <c r="D542" s="580">
        <v>43.521760069650547</v>
      </c>
      <c r="E542" s="580">
        <v>54.277511439949237</v>
      </c>
      <c r="F542" s="580">
        <v>38.01079075072839</v>
      </c>
      <c r="G542" s="203"/>
      <c r="H542" s="203"/>
      <c r="I542" s="203"/>
      <c r="J542" s="203"/>
    </row>
    <row r="543" spans="1:10" ht="14">
      <c r="A543" s="239"/>
      <c r="B543" s="273" t="s">
        <v>107</v>
      </c>
      <c r="C543" s="580">
        <v>69.994830746378966</v>
      </c>
      <c r="D543" s="580">
        <v>53.279201124204192</v>
      </c>
      <c r="E543" s="580">
        <v>57.454729118794923</v>
      </c>
      <c r="F543" s="580">
        <v>44.072917735846048</v>
      </c>
      <c r="G543" s="203"/>
      <c r="H543" s="203"/>
      <c r="I543" s="203"/>
      <c r="J543" s="203"/>
    </row>
    <row r="544" spans="1:10" ht="14">
      <c r="A544" s="239"/>
      <c r="B544" s="273" t="s">
        <v>108</v>
      </c>
      <c r="C544" s="580">
        <v>43.531335995099298</v>
      </c>
      <c r="D544" s="580">
        <v>52.22006569913335</v>
      </c>
      <c r="E544" s="580">
        <v>51.36056963615372</v>
      </c>
      <c r="F544" s="580">
        <v>62.952222275507197</v>
      </c>
      <c r="G544" s="203"/>
      <c r="H544" s="203"/>
      <c r="I544" s="203"/>
      <c r="J544" s="203"/>
    </row>
    <row r="545" spans="1:10" ht="14">
      <c r="A545" s="239"/>
      <c r="B545" s="273" t="s">
        <v>109</v>
      </c>
      <c r="C545" s="580">
        <v>50.963198745050498</v>
      </c>
      <c r="D545" s="580">
        <v>52.80077220198789</v>
      </c>
      <c r="E545" s="580">
        <v>66.551716946146087</v>
      </c>
      <c r="F545" s="580">
        <v>67.174198241636148</v>
      </c>
      <c r="G545" s="203"/>
      <c r="H545" s="203"/>
      <c r="I545" s="203"/>
      <c r="J545" s="203"/>
    </row>
    <row r="546" spans="1:10" ht="14">
      <c r="A546" s="239"/>
      <c r="B546" s="273" t="s">
        <v>110</v>
      </c>
      <c r="C546" s="580">
        <v>53.850285201704253</v>
      </c>
      <c r="D546" s="580">
        <v>53.35969158215687</v>
      </c>
      <c r="E546" s="580">
        <v>51.992301435945883</v>
      </c>
      <c r="F546" s="580">
        <v>43.00459030761985</v>
      </c>
      <c r="G546" s="203"/>
      <c r="H546" s="203"/>
      <c r="I546" s="203"/>
      <c r="J546" s="203"/>
    </row>
    <row r="547" spans="1:10" ht="14">
      <c r="A547" s="239"/>
      <c r="B547" s="273" t="s">
        <v>117</v>
      </c>
      <c r="C547" s="580">
        <v>63.593152995634497</v>
      </c>
      <c r="D547" s="580">
        <v>53.980941601314569</v>
      </c>
      <c r="E547" s="580">
        <v>90.643056141362209</v>
      </c>
      <c r="F547" s="580">
        <v>87.496691907571858</v>
      </c>
      <c r="G547" s="203"/>
      <c r="H547" s="203"/>
      <c r="I547" s="203"/>
      <c r="J547" s="203"/>
    </row>
    <row r="548" spans="1:10" ht="14">
      <c r="A548" s="239"/>
      <c r="B548" s="273" t="s">
        <v>112</v>
      </c>
      <c r="C548" s="580">
        <v>55.258509186237383</v>
      </c>
      <c r="D548" s="580">
        <v>54.107550784197187</v>
      </c>
      <c r="E548" s="580">
        <v>90.220740439997627</v>
      </c>
      <c r="F548" s="580">
        <v>82.610865539080535</v>
      </c>
      <c r="G548" s="203"/>
      <c r="H548" s="203"/>
      <c r="I548" s="203"/>
      <c r="J548" s="203"/>
    </row>
    <row r="549" spans="1:10" ht="14">
      <c r="A549" s="239"/>
      <c r="B549" s="273" t="s">
        <v>113</v>
      </c>
      <c r="C549" s="580">
        <v>55.985405022149017</v>
      </c>
      <c r="D549" s="580">
        <v>80.505244017159043</v>
      </c>
      <c r="E549" s="580">
        <v>52.962323063345472</v>
      </c>
      <c r="F549" s="580">
        <v>61.266385102944682</v>
      </c>
      <c r="G549" s="203"/>
      <c r="H549" s="203"/>
      <c r="I549" s="203"/>
      <c r="J549" s="203"/>
    </row>
    <row r="550" spans="1:10" ht="14">
      <c r="A550" s="239"/>
      <c r="B550" s="273" t="s">
        <v>114</v>
      </c>
      <c r="C550" s="580">
        <v>78.113201005395695</v>
      </c>
      <c r="D550" s="580">
        <v>79.801125155014589</v>
      </c>
      <c r="E550" s="580">
        <v>67.33734817452445</v>
      </c>
      <c r="F550" s="580">
        <v>84.420507008713528</v>
      </c>
      <c r="G550" s="203"/>
      <c r="H550" s="203"/>
      <c r="I550" s="203"/>
      <c r="J550" s="203"/>
    </row>
    <row r="551" spans="1:10" ht="14">
      <c r="A551" s="239"/>
      <c r="B551" s="273" t="s">
        <v>115</v>
      </c>
      <c r="C551" s="580">
        <v>60.867592061855639</v>
      </c>
      <c r="D551" s="580">
        <v>87.484081646055856</v>
      </c>
      <c r="E551" s="580">
        <v>86.81256754824507</v>
      </c>
      <c r="F551" s="580">
        <v>50.182637754634207</v>
      </c>
      <c r="G551" s="203"/>
      <c r="H551" s="203"/>
      <c r="I551" s="203"/>
      <c r="J551" s="203"/>
    </row>
    <row r="552" spans="1:10" ht="14">
      <c r="A552" s="240"/>
      <c r="B552" s="274" t="s">
        <v>116</v>
      </c>
      <c r="C552" s="582">
        <v>59.600917425286241</v>
      </c>
      <c r="D552" s="582">
        <v>87.235752142654704</v>
      </c>
      <c r="E552" s="582">
        <v>51.879888031980677</v>
      </c>
      <c r="F552" s="582">
        <v>51.666250732874147</v>
      </c>
      <c r="G552" s="203"/>
      <c r="H552" s="203"/>
      <c r="I552" s="203"/>
      <c r="J552" s="203"/>
    </row>
    <row r="553" spans="1:10" ht="14">
      <c r="A553" s="238">
        <v>2024</v>
      </c>
      <c r="B553" s="272" t="s">
        <v>105</v>
      </c>
      <c r="C553" s="578">
        <v>69.364898017626757</v>
      </c>
      <c r="D553" s="578">
        <v>52.065107304483988</v>
      </c>
      <c r="E553" s="578">
        <v>51.78813026790673</v>
      </c>
      <c r="F553" s="578">
        <v>59.197706941633989</v>
      </c>
      <c r="G553" s="203"/>
      <c r="H553" s="203"/>
      <c r="I553" s="203"/>
      <c r="J553" s="203"/>
    </row>
    <row r="554" spans="1:10" ht="14">
      <c r="A554" s="239"/>
      <c r="B554" s="273" t="s">
        <v>106</v>
      </c>
      <c r="C554" s="580">
        <v>54.325297533344632</v>
      </c>
      <c r="D554" s="580">
        <v>52.79949154196089</v>
      </c>
      <c r="E554" s="580">
        <v>54.129493899023693</v>
      </c>
      <c r="F554" s="580">
        <v>22.295672267471659</v>
      </c>
      <c r="G554" s="203"/>
      <c r="H554" s="203"/>
      <c r="I554" s="203"/>
      <c r="J554" s="203"/>
    </row>
    <row r="555" spans="1:10" ht="14">
      <c r="A555" s="239"/>
      <c r="B555" s="273" t="s">
        <v>107</v>
      </c>
      <c r="C555" s="580">
        <v>43.295973479021669</v>
      </c>
      <c r="D555" s="580">
        <v>53.793700710115509</v>
      </c>
      <c r="E555" s="580">
        <v>51.502754777318451</v>
      </c>
      <c r="F555" s="580">
        <v>63.898905376566383</v>
      </c>
      <c r="G555" s="203"/>
      <c r="H555" s="203"/>
      <c r="I555" s="203"/>
      <c r="J555" s="203"/>
    </row>
    <row r="556" spans="1:10" ht="14">
      <c r="A556" s="239"/>
      <c r="B556" s="273" t="s">
        <v>108</v>
      </c>
      <c r="C556" s="598">
        <v>57.776768607681888</v>
      </c>
      <c r="D556" s="598">
        <v>53.356260472033959</v>
      </c>
      <c r="E556" s="598">
        <v>62.236984321712903</v>
      </c>
      <c r="F556" s="598">
        <v>65.548148762557972</v>
      </c>
      <c r="G556" s="203"/>
      <c r="H556" s="203"/>
      <c r="I556" s="203"/>
      <c r="J556" s="203"/>
    </row>
    <row r="557" spans="1:10" ht="14">
      <c r="A557" s="239"/>
      <c r="B557" s="273" t="s">
        <v>109</v>
      </c>
      <c r="C557" s="580">
        <v>45.188661237412717</v>
      </c>
      <c r="D557" s="580">
        <v>53.306735691352443</v>
      </c>
      <c r="E557" s="580">
        <v>51.643149054326592</v>
      </c>
      <c r="F557" s="580">
        <v>62.491839596746942</v>
      </c>
      <c r="G557" s="203"/>
      <c r="H557" s="203"/>
      <c r="I557" s="203"/>
      <c r="J557" s="203"/>
    </row>
    <row r="558" spans="1:10" ht="14">
      <c r="A558" s="239"/>
      <c r="B558" s="273" t="s">
        <v>110</v>
      </c>
      <c r="C558" s="580">
        <v>50.372484260168918</v>
      </c>
      <c r="D558" s="580">
        <v>51.731887555308063</v>
      </c>
      <c r="E558" s="580">
        <v>50.842109835104651</v>
      </c>
      <c r="F558" s="580">
        <v>27.244800652517089</v>
      </c>
      <c r="G558" s="203"/>
      <c r="H558" s="203"/>
      <c r="I558" s="203"/>
      <c r="J558" s="203"/>
    </row>
    <row r="559" spans="1:10" ht="14">
      <c r="A559" s="239"/>
      <c r="B559" s="273" t="s">
        <v>117</v>
      </c>
      <c r="C559" s="580">
        <v>50.454248840480453</v>
      </c>
      <c r="D559" s="580">
        <v>53.126236906890448</v>
      </c>
      <c r="E559" s="580">
        <v>52.039779929712282</v>
      </c>
      <c r="F559" s="580">
        <v>48.321789856045051</v>
      </c>
      <c r="G559" s="203"/>
      <c r="H559" s="203"/>
      <c r="I559" s="203"/>
      <c r="J559" s="203"/>
    </row>
    <row r="560" spans="1:10" ht="14">
      <c r="A560" s="239"/>
      <c r="B560" s="273" t="s">
        <v>112</v>
      </c>
      <c r="C560" s="580">
        <v>56.393617534196878</v>
      </c>
      <c r="D560" s="580">
        <v>74.591719832562077</v>
      </c>
      <c r="E560" s="580">
        <v>88.416604185632011</v>
      </c>
      <c r="F560" s="580">
        <v>63.646637009474247</v>
      </c>
      <c r="G560" s="203"/>
      <c r="H560" s="203"/>
      <c r="I560" s="203"/>
      <c r="J560" s="203"/>
    </row>
    <row r="561" spans="1:10" ht="14">
      <c r="A561" s="239"/>
      <c r="B561" s="273" t="s">
        <v>113</v>
      </c>
      <c r="C561" s="580">
        <v>43.735524525588893</v>
      </c>
      <c r="D561" s="580">
        <v>51.352575585711087</v>
      </c>
      <c r="E561" s="580">
        <v>88.892448649615702</v>
      </c>
      <c r="F561" s="580">
        <v>57.119912353473758</v>
      </c>
      <c r="G561" s="203"/>
      <c r="H561" s="203"/>
      <c r="I561" s="203"/>
      <c r="J561" s="203"/>
    </row>
    <row r="562" spans="1:10" ht="14">
      <c r="A562" s="239"/>
      <c r="B562" s="273" t="s">
        <v>114</v>
      </c>
      <c r="C562" s="580">
        <v>53.934022543746892</v>
      </c>
      <c r="D562" s="580">
        <v>28.54967246150726</v>
      </c>
      <c r="E562" s="580">
        <v>51.214237616742679</v>
      </c>
      <c r="F562" s="580">
        <v>42.888556187356251</v>
      </c>
      <c r="G562" s="203"/>
      <c r="H562" s="203"/>
      <c r="I562" s="203"/>
      <c r="J562" s="203"/>
    </row>
    <row r="563" spans="1:10" ht="14">
      <c r="A563" s="239"/>
      <c r="B563" s="273" t="s">
        <v>115</v>
      </c>
      <c r="C563" s="580">
        <v>64.033044174249682</v>
      </c>
      <c r="D563" s="580">
        <v>54.081360068751742</v>
      </c>
      <c r="E563" s="580">
        <v>16.341662839890489</v>
      </c>
      <c r="F563" s="580">
        <v>58.670947193325581</v>
      </c>
      <c r="G563" s="203"/>
      <c r="H563" s="203"/>
      <c r="I563" s="203"/>
      <c r="J563" s="203"/>
    </row>
    <row r="564" spans="1:10" ht="14">
      <c r="A564" s="240"/>
      <c r="B564" s="274" t="s">
        <v>116</v>
      </c>
      <c r="C564" s="582">
        <v>61.69702929624399</v>
      </c>
      <c r="D564" s="582">
        <v>52.487121964035587</v>
      </c>
      <c r="E564" s="582">
        <v>49.062343625360711</v>
      </c>
      <c r="F564" s="582">
        <v>58.927651699733858</v>
      </c>
      <c r="G564" s="203"/>
      <c r="H564" s="203"/>
      <c r="I564" s="203"/>
      <c r="J564" s="203"/>
    </row>
    <row r="565" spans="1:10" ht="14">
      <c r="A565" s="238">
        <v>2025</v>
      </c>
      <c r="B565" s="272" t="s">
        <v>105</v>
      </c>
      <c r="C565" s="578">
        <v>53.10349903344774</v>
      </c>
      <c r="D565" s="578">
        <v>53.750363863124598</v>
      </c>
      <c r="E565" s="578">
        <v>50.398265998222861</v>
      </c>
      <c r="F565" s="578">
        <v>43.587540676083172</v>
      </c>
      <c r="G565" s="203"/>
      <c r="H565" s="203"/>
      <c r="I565" s="203"/>
      <c r="J565" s="203"/>
    </row>
    <row r="566" spans="1:10" ht="14">
      <c r="A566" s="239"/>
      <c r="B566" s="273" t="s">
        <v>106</v>
      </c>
      <c r="C566" s="580">
        <v>54.394309925197248</v>
      </c>
      <c r="D566" s="580">
        <v>51.756103012562967</v>
      </c>
      <c r="E566" s="580">
        <v>49.903461750959011</v>
      </c>
      <c r="F566" s="580">
        <v>38.16673724326656</v>
      </c>
      <c r="G566" s="203"/>
      <c r="H566" s="203"/>
      <c r="I566" s="203"/>
      <c r="J566" s="203"/>
    </row>
    <row r="567" spans="1:10" ht="14">
      <c r="A567" s="239"/>
      <c r="B567" s="273" t="s">
        <v>107</v>
      </c>
      <c r="C567" s="580">
        <v>73.031778040170877</v>
      </c>
      <c r="D567" s="580">
        <v>52.479687659628922</v>
      </c>
      <c r="E567" s="580">
        <v>51.387043318938403</v>
      </c>
      <c r="F567" s="580">
        <v>41.875477960585251</v>
      </c>
      <c r="G567" s="203"/>
      <c r="H567" s="203"/>
      <c r="I567" s="203"/>
      <c r="J567" s="203"/>
    </row>
    <row r="568" spans="1:10" ht="14">
      <c r="A568" s="239"/>
      <c r="B568" s="273" t="s">
        <v>108</v>
      </c>
      <c r="C568" s="580">
        <v>43.86889351723557</v>
      </c>
      <c r="D568" s="580">
        <v>50.91257384694574</v>
      </c>
      <c r="E568" s="580">
        <v>54.629315285089099</v>
      </c>
      <c r="F568" s="580">
        <v>48.025245799162889</v>
      </c>
      <c r="G568" s="203"/>
      <c r="H568" s="203"/>
      <c r="I568" s="203"/>
      <c r="J568" s="203"/>
    </row>
    <row r="569" spans="1:10" ht="14">
      <c r="A569" s="239"/>
      <c r="B569" s="273" t="s">
        <v>109</v>
      </c>
      <c r="C569" s="580">
        <v>42.905849668963093</v>
      </c>
      <c r="D569" s="580">
        <v>62.562041786905517</v>
      </c>
      <c r="E569" s="580">
        <v>63.856455810940133</v>
      </c>
      <c r="F569" s="580">
        <v>56.798852148226402</v>
      </c>
      <c r="G569" s="203"/>
      <c r="H569" s="203"/>
      <c r="I569" s="203"/>
      <c r="J569" s="203"/>
    </row>
    <row r="570" spans="1:10" ht="14">
      <c r="A570" s="239"/>
      <c r="B570" s="273" t="s">
        <v>110</v>
      </c>
      <c r="C570" s="594">
        <v>60.48014585709317</v>
      </c>
      <c r="D570" s="594">
        <v>76.333640844504259</v>
      </c>
      <c r="E570" s="594">
        <v>61.24344448727576</v>
      </c>
      <c r="F570" s="594">
        <v>45.407656695084682</v>
      </c>
      <c r="G570" s="203"/>
      <c r="H570" s="203"/>
      <c r="I570" s="203"/>
      <c r="J570" s="203"/>
    </row>
    <row r="571" spans="1:10" ht="14">
      <c r="A571" s="239"/>
      <c r="B571" s="273" t="s">
        <v>117</v>
      </c>
      <c r="C571" s="594">
        <v>54.231309554488547</v>
      </c>
      <c r="D571" s="594">
        <v>52.212467196869099</v>
      </c>
      <c r="E571" s="594">
        <v>77.052980546143758</v>
      </c>
      <c r="F571" s="594">
        <v>20.137478066892161</v>
      </c>
      <c r="G571" s="203"/>
      <c r="H571" s="203"/>
      <c r="I571" s="203"/>
      <c r="J571" s="203"/>
    </row>
    <row r="572" spans="1:10" ht="14">
      <c r="A572" s="239"/>
      <c r="B572" s="273" t="s">
        <v>112</v>
      </c>
      <c r="C572" s="594">
        <v>61.509975771381768</v>
      </c>
      <c r="D572" s="594">
        <v>54.406279423416628</v>
      </c>
      <c r="E572" s="594">
        <v>53.828633244398752</v>
      </c>
      <c r="F572" s="594">
        <v>66.922050341246219</v>
      </c>
      <c r="G572" s="203"/>
      <c r="H572" s="203"/>
      <c r="I572" s="203"/>
      <c r="J572" s="203"/>
    </row>
    <row r="573" spans="1:10" ht="14">
      <c r="A573" s="239"/>
      <c r="B573" s="273" t="s">
        <v>113</v>
      </c>
      <c r="C573" s="594">
        <v>49.572937508698487</v>
      </c>
      <c r="D573" s="594">
        <v>53.113955978175433</v>
      </c>
      <c r="E573" s="594">
        <v>51.686569114000598</v>
      </c>
      <c r="F573" s="594">
        <v>54.759181354416732</v>
      </c>
      <c r="G573" s="203"/>
      <c r="H573" s="203"/>
      <c r="I573" s="203"/>
      <c r="J573" s="203"/>
    </row>
    <row r="574" spans="1:10" ht="14">
      <c r="A574" s="239"/>
      <c r="B574" s="273" t="s">
        <v>114</v>
      </c>
      <c r="C574" s="594">
        <v>59.289555946781043</v>
      </c>
      <c r="D574" s="594">
        <v>52.667690412343909</v>
      </c>
      <c r="E574" s="594">
        <v>39.563096223098462</v>
      </c>
      <c r="F574" s="594">
        <v>70.843933988342513</v>
      </c>
      <c r="G574" s="203"/>
      <c r="H574" s="203"/>
      <c r="I574" s="203"/>
      <c r="J574" s="203"/>
    </row>
    <row r="575" spans="1:10" ht="14">
      <c r="A575" s="239"/>
      <c r="B575" s="273" t="s">
        <v>115</v>
      </c>
      <c r="C575" s="594">
        <v>59.671319658526393</v>
      </c>
      <c r="D575" s="594">
        <v>51.488800572474673</v>
      </c>
      <c r="E575" s="594">
        <v>54.869760291941127</v>
      </c>
      <c r="F575" s="594">
        <v>28.706401167931379</v>
      </c>
      <c r="G575" s="203"/>
      <c r="H575" s="203"/>
      <c r="I575" s="203"/>
      <c r="J575" s="203"/>
    </row>
    <row r="576" spans="1:10" ht="14">
      <c r="A576" s="240"/>
      <c r="B576" s="274" t="s">
        <v>116</v>
      </c>
      <c r="C576" s="595">
        <v>59.075541442061848</v>
      </c>
      <c r="D576" s="595">
        <v>52.446079958325868</v>
      </c>
      <c r="E576" s="595">
        <v>41.596575463761603</v>
      </c>
      <c r="F576" s="595">
        <v>64.447538406508784</v>
      </c>
      <c r="G576" s="203"/>
      <c r="H576" s="203"/>
      <c r="I576" s="203"/>
      <c r="J576" s="203"/>
    </row>
    <row r="577" spans="1:10" ht="14">
      <c r="A577" s="238">
        <v>2026</v>
      </c>
      <c r="B577" s="272" t="s">
        <v>105</v>
      </c>
      <c r="C577" s="686">
        <v>51.60203085471624</v>
      </c>
      <c r="D577" s="686">
        <v>44.827286589562171</v>
      </c>
      <c r="E577" s="686">
        <v>52.989778033655597</v>
      </c>
      <c r="F577" s="686">
        <v>34.873264279893952</v>
      </c>
      <c r="G577" s="203"/>
      <c r="H577" s="203"/>
      <c r="I577" s="203"/>
      <c r="J577" s="203"/>
    </row>
    <row r="578" spans="1:10" ht="14">
      <c r="A578" s="239"/>
      <c r="B578" s="273" t="s">
        <v>106</v>
      </c>
      <c r="C578" s="594">
        <v>58.305387574045817</v>
      </c>
      <c r="D578" s="594">
        <v>37.87822585551725</v>
      </c>
      <c r="E578" s="594">
        <v>53.079550684893057</v>
      </c>
      <c r="F578" s="594">
        <v>66.722538077075427</v>
      </c>
      <c r="G578" s="203"/>
      <c r="H578" s="203"/>
      <c r="I578" s="203"/>
      <c r="J578" s="203"/>
    </row>
    <row r="579" spans="1:10" ht="14">
      <c r="A579" s="240"/>
      <c r="B579" s="274" t="s">
        <v>107</v>
      </c>
      <c r="C579" s="595">
        <v>54.255046255404338</v>
      </c>
      <c r="D579" s="595">
        <v>54.281047991503989</v>
      </c>
      <c r="E579" s="595">
        <v>52.81551449645093</v>
      </c>
      <c r="F579" s="595">
        <v>80.812533493005574</v>
      </c>
      <c r="G579" s="203"/>
      <c r="H579" s="203"/>
      <c r="I579" s="203"/>
      <c r="J579" s="203"/>
    </row>
    <row r="580" spans="1:10">
      <c r="G580" s="203"/>
      <c r="H580" s="203"/>
      <c r="I580" s="203"/>
      <c r="J580" s="203"/>
    </row>
    <row r="581" spans="1:10" ht="14">
      <c r="A581" s="823" t="s">
        <v>370</v>
      </c>
      <c r="B581" s="823"/>
      <c r="C581" s="823"/>
      <c r="D581" s="823"/>
      <c r="E581" s="823"/>
      <c r="F581" s="823"/>
      <c r="G581" s="203"/>
      <c r="H581" s="203"/>
      <c r="I581" s="203"/>
      <c r="J581" s="203"/>
    </row>
    <row r="582" spans="1:10" ht="14">
      <c r="A582" s="717" t="s">
        <v>98</v>
      </c>
      <c r="B582" s="718"/>
      <c r="C582" s="824" t="s">
        <v>358</v>
      </c>
      <c r="D582" s="825"/>
      <c r="E582" s="825"/>
      <c r="F582" s="826"/>
      <c r="G582" s="203"/>
      <c r="H582" s="203"/>
      <c r="I582" s="203"/>
      <c r="J582" s="203"/>
    </row>
    <row r="583" spans="1:10" ht="45" customHeight="1">
      <c r="A583" s="751"/>
      <c r="B583" s="752"/>
      <c r="C583" s="277" t="s">
        <v>359</v>
      </c>
      <c r="D583" s="277" t="s">
        <v>360</v>
      </c>
      <c r="E583" s="277" t="s">
        <v>361</v>
      </c>
      <c r="F583" s="376" t="s">
        <v>362</v>
      </c>
      <c r="G583" s="203"/>
      <c r="H583" s="203"/>
      <c r="I583" s="203"/>
      <c r="J583" s="203"/>
    </row>
    <row r="584" spans="1:10" ht="14">
      <c r="A584" s="238">
        <v>2020</v>
      </c>
      <c r="B584" s="247" t="s">
        <v>112</v>
      </c>
      <c r="C584" s="578">
        <v>52.629536485630148</v>
      </c>
      <c r="D584" s="578">
        <v>53.781241200042118</v>
      </c>
      <c r="E584" s="578">
        <v>65.264280171490967</v>
      </c>
      <c r="F584" s="579">
        <v>63.748705853876899</v>
      </c>
      <c r="G584" s="203"/>
      <c r="H584" s="203"/>
      <c r="I584" s="203"/>
      <c r="J584" s="203"/>
    </row>
    <row r="585" spans="1:10" ht="14">
      <c r="A585" s="239"/>
      <c r="B585" s="273" t="s">
        <v>113</v>
      </c>
      <c r="C585" s="580">
        <v>51.144496103400193</v>
      </c>
      <c r="D585" s="580">
        <v>51.623219629229908</v>
      </c>
      <c r="E585" s="580">
        <v>47.460997862802742</v>
      </c>
      <c r="F585" s="581">
        <v>48.541156261150597</v>
      </c>
      <c r="G585" s="203"/>
      <c r="H585" s="203"/>
      <c r="I585" s="203"/>
      <c r="J585" s="203"/>
    </row>
    <row r="586" spans="1:10" ht="14">
      <c r="A586" s="239"/>
      <c r="B586" s="273" t="s">
        <v>114</v>
      </c>
      <c r="C586" s="580">
        <v>52.810574772235057</v>
      </c>
      <c r="D586" s="580">
        <v>52.732692524668963</v>
      </c>
      <c r="E586" s="580">
        <v>51.403985491845603</v>
      </c>
      <c r="F586" s="581">
        <v>52.678247133981152</v>
      </c>
      <c r="G586" s="203"/>
      <c r="H586" s="203"/>
      <c r="I586" s="203"/>
      <c r="J586" s="203"/>
    </row>
    <row r="587" spans="1:10" ht="14">
      <c r="A587" s="239"/>
      <c r="B587" s="273" t="s">
        <v>115</v>
      </c>
      <c r="C587" s="580">
        <v>63.310982750762591</v>
      </c>
      <c r="D587" s="580">
        <v>52.998503694578638</v>
      </c>
      <c r="E587" s="580">
        <v>54.837581985501053</v>
      </c>
      <c r="F587" s="581">
        <v>56.603852798150108</v>
      </c>
      <c r="G587" s="203"/>
      <c r="H587" s="203"/>
      <c r="I587" s="203"/>
      <c r="J587" s="203"/>
    </row>
    <row r="588" spans="1:10" ht="14">
      <c r="A588" s="239"/>
      <c r="B588" s="274" t="s">
        <v>116</v>
      </c>
      <c r="C588" s="582">
        <v>40.671122601922903</v>
      </c>
      <c r="D588" s="582">
        <v>52.398311874660997</v>
      </c>
      <c r="E588" s="582">
        <v>21.63472795498781</v>
      </c>
      <c r="F588" s="583">
        <v>39.069060686686512</v>
      </c>
      <c r="G588" s="203"/>
      <c r="H588" s="203"/>
      <c r="I588" s="203"/>
      <c r="J588" s="203"/>
    </row>
    <row r="589" spans="1:10" ht="14">
      <c r="A589" s="597">
        <v>2021</v>
      </c>
      <c r="B589" s="272" t="s">
        <v>105</v>
      </c>
      <c r="C589" s="578">
        <v>52.101806809614857</v>
      </c>
      <c r="D589" s="578">
        <v>51.646895198508041</v>
      </c>
      <c r="E589" s="578">
        <v>67.440482114624459</v>
      </c>
      <c r="F589" s="579">
        <v>55.294365972057243</v>
      </c>
      <c r="G589" s="203"/>
      <c r="H589" s="203"/>
      <c r="I589" s="203"/>
      <c r="J589" s="203"/>
    </row>
    <row r="590" spans="1:10" ht="14">
      <c r="A590" s="284"/>
      <c r="B590" s="273" t="s">
        <v>106</v>
      </c>
      <c r="C590" s="580">
        <v>48.50371346002435</v>
      </c>
      <c r="D590" s="580">
        <v>54.421439796904977</v>
      </c>
      <c r="E590" s="580">
        <v>55.96323176318019</v>
      </c>
      <c r="F590" s="581">
        <v>54.979782072108549</v>
      </c>
      <c r="G590" s="203"/>
      <c r="H590" s="203"/>
      <c r="I590" s="203"/>
      <c r="J590" s="203"/>
    </row>
    <row r="591" spans="1:10" ht="14">
      <c r="A591" s="284"/>
      <c r="B591" s="273" t="s">
        <v>107</v>
      </c>
      <c r="C591" s="580">
        <v>86.826243253370706</v>
      </c>
      <c r="D591" s="580">
        <v>52.149056864935659</v>
      </c>
      <c r="E591" s="580">
        <v>63.710890217971873</v>
      </c>
      <c r="F591" s="581">
        <v>62.665712445664241</v>
      </c>
      <c r="G591" s="203"/>
      <c r="H591" s="203"/>
      <c r="I591" s="203"/>
      <c r="J591" s="203"/>
    </row>
    <row r="592" spans="1:10" ht="14">
      <c r="A592" s="284"/>
      <c r="B592" s="273" t="s">
        <v>108</v>
      </c>
      <c r="C592" s="580">
        <v>53.790254880542903</v>
      </c>
      <c r="D592" s="580">
        <v>66.568363157955545</v>
      </c>
      <c r="E592" s="580">
        <v>53.213502869555029</v>
      </c>
      <c r="F592" s="581">
        <v>50.515378178297183</v>
      </c>
      <c r="G592" s="203"/>
      <c r="H592" s="203"/>
      <c r="I592" s="203"/>
      <c r="J592" s="203"/>
    </row>
    <row r="593" spans="1:10" ht="14">
      <c r="A593" s="284"/>
      <c r="B593" s="273" t="s">
        <v>109</v>
      </c>
      <c r="C593" s="580">
        <v>47.269284387844451</v>
      </c>
      <c r="D593" s="580">
        <v>54.341540484367492</v>
      </c>
      <c r="E593" s="580">
        <v>65.921116696269792</v>
      </c>
      <c r="F593" s="581">
        <v>61.014307171859627</v>
      </c>
      <c r="G593" s="203"/>
      <c r="H593" s="203"/>
      <c r="I593" s="203"/>
      <c r="J593" s="203"/>
    </row>
    <row r="594" spans="1:10" ht="14">
      <c r="A594" s="284"/>
      <c r="B594" s="273" t="s">
        <v>110</v>
      </c>
      <c r="C594" s="580">
        <v>50.530880309743928</v>
      </c>
      <c r="D594" s="580">
        <v>53.059669150838083</v>
      </c>
      <c r="E594" s="580">
        <v>55.687324075292111</v>
      </c>
      <c r="F594" s="581">
        <v>59.133324820672613</v>
      </c>
      <c r="G594" s="203"/>
      <c r="H594" s="203"/>
      <c r="I594" s="203"/>
      <c r="J594" s="203"/>
    </row>
    <row r="595" spans="1:10" ht="14">
      <c r="A595" s="284"/>
      <c r="B595" s="273" t="s">
        <v>117</v>
      </c>
      <c r="C595" s="580">
        <v>50.197300159944078</v>
      </c>
      <c r="D595" s="580">
        <v>52.569247219939371</v>
      </c>
      <c r="E595" s="580">
        <v>57.661254307513268</v>
      </c>
      <c r="F595" s="581">
        <v>54.272494474083018</v>
      </c>
      <c r="G595" s="203"/>
      <c r="H595" s="203"/>
      <c r="I595" s="203"/>
      <c r="J595" s="203"/>
    </row>
    <row r="596" spans="1:10" ht="14">
      <c r="A596" s="284"/>
      <c r="B596" s="273" t="s">
        <v>112</v>
      </c>
      <c r="C596" s="580">
        <v>13.273903060515019</v>
      </c>
      <c r="D596" s="580">
        <v>37.187444605031097</v>
      </c>
      <c r="E596" s="580">
        <v>59.995752460030751</v>
      </c>
      <c r="F596" s="581">
        <v>54.303848106086171</v>
      </c>
      <c r="G596" s="203"/>
      <c r="H596" s="203"/>
      <c r="I596" s="203"/>
      <c r="J596" s="203"/>
    </row>
    <row r="597" spans="1:10" ht="14">
      <c r="A597" s="284"/>
      <c r="B597" s="273" t="s">
        <v>113</v>
      </c>
      <c r="C597" s="580">
        <v>16.957343787518059</v>
      </c>
      <c r="D597" s="580">
        <v>50.458188754995291</v>
      </c>
      <c r="E597" s="580">
        <v>54.37331465304964</v>
      </c>
      <c r="F597" s="581">
        <v>52.430968413489353</v>
      </c>
      <c r="G597" s="203"/>
      <c r="H597" s="203"/>
      <c r="I597" s="203"/>
      <c r="J597" s="203"/>
    </row>
    <row r="598" spans="1:10" ht="14">
      <c r="A598" s="284"/>
      <c r="B598" s="273" t="s">
        <v>114</v>
      </c>
      <c r="C598" s="580">
        <v>16.76522306324286</v>
      </c>
      <c r="D598" s="580">
        <v>52.094873956842477</v>
      </c>
      <c r="E598" s="580">
        <v>55.528792378003871</v>
      </c>
      <c r="F598" s="581">
        <v>52.570364484932448</v>
      </c>
      <c r="G598" s="203"/>
      <c r="H598" s="203"/>
      <c r="I598" s="203"/>
      <c r="J598" s="203"/>
    </row>
    <row r="599" spans="1:10" ht="14">
      <c r="A599" s="239"/>
      <c r="B599" s="273" t="s">
        <v>115</v>
      </c>
      <c r="C599" s="580">
        <v>53.245872852396083</v>
      </c>
      <c r="D599" s="580">
        <v>51.800341418410902</v>
      </c>
      <c r="E599" s="580">
        <v>87.57572855631463</v>
      </c>
      <c r="F599" s="581">
        <v>68.409233490427027</v>
      </c>
      <c r="G599" s="203"/>
      <c r="H599" s="203"/>
      <c r="I599" s="203"/>
      <c r="J599" s="203"/>
    </row>
    <row r="600" spans="1:10" ht="14">
      <c r="A600" s="602"/>
      <c r="B600" s="274" t="s">
        <v>116</v>
      </c>
      <c r="C600" s="582">
        <v>48.656438563378217</v>
      </c>
      <c r="D600" s="582">
        <v>52.324070486283048</v>
      </c>
      <c r="E600" s="582">
        <v>65.674498682014459</v>
      </c>
      <c r="F600" s="582">
        <v>59.004423697898588</v>
      </c>
      <c r="G600" s="203"/>
      <c r="H600" s="203"/>
      <c r="I600" s="203"/>
      <c r="J600" s="203"/>
    </row>
    <row r="601" spans="1:10" ht="14">
      <c r="A601" s="603">
        <v>2022</v>
      </c>
      <c r="B601" s="272" t="s">
        <v>105</v>
      </c>
      <c r="C601" s="578">
        <v>17.36212052808558</v>
      </c>
      <c r="D601" s="578">
        <v>52.508989998966072</v>
      </c>
      <c r="E601" s="578">
        <v>53.138490951755116</v>
      </c>
      <c r="F601" s="578">
        <v>61.95618260461481</v>
      </c>
      <c r="G601" s="203"/>
      <c r="H601" s="203"/>
      <c r="I601" s="203"/>
      <c r="J601" s="203"/>
    </row>
    <row r="602" spans="1:10" ht="14">
      <c r="A602" s="241"/>
      <c r="B602" s="273" t="s">
        <v>106</v>
      </c>
      <c r="C602" s="580">
        <v>16.762052515991641</v>
      </c>
      <c r="D602" s="580">
        <v>64.738792216135451</v>
      </c>
      <c r="E602" s="580">
        <v>55.467174672649151</v>
      </c>
      <c r="F602" s="580">
        <v>64.390695120174755</v>
      </c>
      <c r="G602" s="203"/>
      <c r="H602" s="203"/>
      <c r="I602" s="203"/>
      <c r="J602" s="203"/>
    </row>
    <row r="603" spans="1:10" ht="14">
      <c r="A603" s="241"/>
      <c r="B603" s="273" t="s">
        <v>107</v>
      </c>
      <c r="C603" s="580">
        <v>53.318627086826652</v>
      </c>
      <c r="D603" s="580">
        <v>52.506143428706032</v>
      </c>
      <c r="E603" s="580">
        <v>55.540160588854377</v>
      </c>
      <c r="F603" s="580">
        <v>60.044108179692053</v>
      </c>
      <c r="G603" s="203"/>
      <c r="H603" s="203"/>
      <c r="I603" s="203"/>
      <c r="J603" s="203"/>
    </row>
    <row r="604" spans="1:10" ht="14">
      <c r="A604" s="241"/>
      <c r="B604" s="273" t="s">
        <v>108</v>
      </c>
      <c r="C604" s="580">
        <v>49.07741875314052</v>
      </c>
      <c r="D604" s="580">
        <v>27.40863169181123</v>
      </c>
      <c r="E604" s="580">
        <v>52.287494883494531</v>
      </c>
      <c r="F604" s="580">
        <v>51.073159923027838</v>
      </c>
      <c r="G604" s="203"/>
      <c r="H604" s="203"/>
      <c r="I604" s="203"/>
      <c r="J604" s="203"/>
    </row>
    <row r="605" spans="1:10" ht="14">
      <c r="A605" s="241"/>
      <c r="B605" s="273" t="s">
        <v>109</v>
      </c>
      <c r="C605" s="580">
        <v>51.10420385003021</v>
      </c>
      <c r="D605" s="580">
        <v>26.455267344299251</v>
      </c>
      <c r="E605" s="580">
        <v>53.251233736292718</v>
      </c>
      <c r="F605" s="580">
        <v>61.326764052787063</v>
      </c>
      <c r="G605" s="203"/>
      <c r="H605" s="203"/>
      <c r="I605" s="203"/>
      <c r="J605" s="203"/>
    </row>
    <row r="606" spans="1:10" ht="14">
      <c r="A606" s="241"/>
      <c r="B606" s="273" t="s">
        <v>110</v>
      </c>
      <c r="C606" s="580">
        <v>12.85654870342009</v>
      </c>
      <c r="D606" s="580">
        <v>27.955380545920899</v>
      </c>
      <c r="E606" s="580">
        <v>21.0984274214082</v>
      </c>
      <c r="F606" s="580">
        <v>65.113190881340515</v>
      </c>
      <c r="G606" s="203"/>
      <c r="H606" s="203"/>
      <c r="I606" s="203"/>
      <c r="J606" s="203"/>
    </row>
    <row r="607" spans="1:10" ht="14">
      <c r="A607" s="241"/>
      <c r="B607" s="273" t="s">
        <v>117</v>
      </c>
      <c r="C607" s="580">
        <v>60.179951669141317</v>
      </c>
      <c r="D607" s="580">
        <v>53.917471330700508</v>
      </c>
      <c r="E607" s="580">
        <v>55.91511230486114</v>
      </c>
      <c r="F607" s="580">
        <v>52.678250327130293</v>
      </c>
      <c r="G607" s="203"/>
      <c r="H607" s="203"/>
      <c r="I607" s="203"/>
      <c r="J607" s="203"/>
    </row>
    <row r="608" spans="1:10" ht="14">
      <c r="A608" s="241"/>
      <c r="B608" s="273" t="s">
        <v>112</v>
      </c>
      <c r="C608" s="580">
        <v>51.216399065964808</v>
      </c>
      <c r="D608" s="580">
        <v>52.175132196712788</v>
      </c>
      <c r="E608" s="580">
        <v>88.672769281934919</v>
      </c>
      <c r="F608" s="580">
        <v>53.751128355358603</v>
      </c>
      <c r="G608" s="203"/>
      <c r="H608" s="203"/>
      <c r="I608" s="203"/>
      <c r="J608" s="203"/>
    </row>
    <row r="609" spans="1:10" ht="14">
      <c r="A609" s="241"/>
      <c r="B609" s="273" t="s">
        <v>113</v>
      </c>
      <c r="C609" s="580">
        <v>52.286439197017813</v>
      </c>
      <c r="D609" s="580">
        <v>85.6746622224438</v>
      </c>
      <c r="E609" s="580">
        <v>56.169546441308022</v>
      </c>
      <c r="F609" s="580">
        <v>80.935876437163216</v>
      </c>
      <c r="G609" s="203"/>
      <c r="H609" s="203"/>
      <c r="I609" s="203"/>
      <c r="J609" s="203"/>
    </row>
    <row r="610" spans="1:10" ht="14">
      <c r="A610" s="241"/>
      <c r="B610" s="273" t="s">
        <v>114</v>
      </c>
      <c r="C610" s="580">
        <v>55.320641027101807</v>
      </c>
      <c r="D610" s="580">
        <v>51.072865261130381</v>
      </c>
      <c r="E610" s="580">
        <v>64.35969043676846</v>
      </c>
      <c r="F610" s="580">
        <v>73.628484121050548</v>
      </c>
      <c r="G610" s="203"/>
      <c r="H610" s="203"/>
      <c r="I610" s="203"/>
      <c r="J610" s="203"/>
    </row>
    <row r="611" spans="1:10" ht="14">
      <c r="A611" s="241"/>
      <c r="B611" s="273" t="s">
        <v>115</v>
      </c>
      <c r="C611" s="580">
        <v>66.642747684936253</v>
      </c>
      <c r="D611" s="580">
        <v>75.699659910058017</v>
      </c>
      <c r="E611" s="580">
        <v>61.354316487010287</v>
      </c>
      <c r="F611" s="580">
        <v>57.032393792427229</v>
      </c>
      <c r="G611" s="203"/>
      <c r="H611" s="203"/>
      <c r="I611" s="203"/>
      <c r="J611" s="203"/>
    </row>
    <row r="612" spans="1:10" ht="14">
      <c r="A612" s="242"/>
      <c r="B612" s="274" t="s">
        <v>116</v>
      </c>
      <c r="C612" s="582">
        <v>51.748040811525499</v>
      </c>
      <c r="D612" s="582">
        <v>73.776982309542674</v>
      </c>
      <c r="E612" s="582">
        <v>55.817088027144351</v>
      </c>
      <c r="F612" s="582">
        <v>52.885652970380811</v>
      </c>
      <c r="G612" s="203"/>
      <c r="H612" s="203"/>
      <c r="I612" s="203"/>
      <c r="J612" s="203"/>
    </row>
    <row r="613" spans="1:10" ht="14">
      <c r="A613" s="603">
        <v>2023</v>
      </c>
      <c r="B613" s="272" t="s">
        <v>105</v>
      </c>
      <c r="C613" s="578">
        <v>64.575457710938792</v>
      </c>
      <c r="D613" s="578">
        <v>50.290043651918573</v>
      </c>
      <c r="E613" s="578">
        <v>53.362797135491938</v>
      </c>
      <c r="F613" s="578">
        <v>51.43788283204627</v>
      </c>
      <c r="G613" s="203"/>
      <c r="H613" s="203"/>
      <c r="I613" s="203"/>
      <c r="J613" s="203"/>
    </row>
    <row r="614" spans="1:10" ht="14">
      <c r="A614" s="239"/>
      <c r="B614" s="273" t="s">
        <v>106</v>
      </c>
      <c r="C614" s="580">
        <v>64.548289141983958</v>
      </c>
      <c r="D614" s="580">
        <v>62.948889158649443</v>
      </c>
      <c r="E614" s="580">
        <v>68.652052956496021</v>
      </c>
      <c r="F614" s="580">
        <v>34.550813228563882</v>
      </c>
      <c r="G614" s="203"/>
      <c r="H614" s="203"/>
      <c r="I614" s="203"/>
      <c r="J614" s="203"/>
    </row>
    <row r="615" spans="1:10" ht="14">
      <c r="A615" s="239"/>
      <c r="B615" s="273" t="s">
        <v>107</v>
      </c>
      <c r="C615" s="580">
        <v>65.631546616627944</v>
      </c>
      <c r="D615" s="580">
        <v>52.081089484990073</v>
      </c>
      <c r="E615" s="580">
        <v>57.282950861049017</v>
      </c>
      <c r="F615" s="580">
        <v>55.10774071590992</v>
      </c>
      <c r="G615" s="203"/>
      <c r="H615" s="203"/>
      <c r="I615" s="203"/>
      <c r="J615" s="203"/>
    </row>
    <row r="616" spans="1:10" ht="14">
      <c r="A616" s="239"/>
      <c r="B616" s="273" t="s">
        <v>108</v>
      </c>
      <c r="C616" s="580">
        <v>66.523486791423338</v>
      </c>
      <c r="D616" s="580">
        <v>62.895263904270927</v>
      </c>
      <c r="E616" s="580">
        <v>52.807475010290823</v>
      </c>
      <c r="F616" s="580">
        <v>83.091078047920476</v>
      </c>
      <c r="G616" s="203"/>
      <c r="H616" s="203"/>
      <c r="I616" s="203"/>
      <c r="J616" s="203"/>
    </row>
    <row r="617" spans="1:10" ht="14">
      <c r="A617" s="239"/>
      <c r="B617" s="273" t="s">
        <v>109</v>
      </c>
      <c r="C617" s="580">
        <v>65.395462723256557</v>
      </c>
      <c r="D617" s="580">
        <v>51.99786521082622</v>
      </c>
      <c r="E617" s="580">
        <v>66.188044081369341</v>
      </c>
      <c r="F617" s="580">
        <v>64.750310514036144</v>
      </c>
      <c r="G617" s="203"/>
      <c r="H617" s="203"/>
      <c r="I617" s="203"/>
      <c r="J617" s="203"/>
    </row>
    <row r="618" spans="1:10" ht="14">
      <c r="A618" s="239"/>
      <c r="B618" s="273" t="s">
        <v>110</v>
      </c>
      <c r="C618" s="580">
        <v>74.6004732478156</v>
      </c>
      <c r="D618" s="580">
        <v>52.546545818030488</v>
      </c>
      <c r="E618" s="580">
        <v>51.876397228418583</v>
      </c>
      <c r="F618" s="580">
        <v>36.56545975113746</v>
      </c>
      <c r="G618" s="203"/>
      <c r="H618" s="203"/>
      <c r="I618" s="203"/>
      <c r="J618" s="203"/>
    </row>
    <row r="619" spans="1:10" ht="14">
      <c r="A619" s="239"/>
      <c r="B619" s="273" t="s">
        <v>117</v>
      </c>
      <c r="C619" s="580">
        <v>38.613174620361377</v>
      </c>
      <c r="D619" s="580">
        <v>49.467950034638633</v>
      </c>
      <c r="E619" s="580">
        <v>50.28200977838673</v>
      </c>
      <c r="F619" s="580">
        <v>81.90401443452096</v>
      </c>
      <c r="G619" s="203"/>
      <c r="H619" s="203"/>
      <c r="I619" s="203"/>
      <c r="J619" s="203"/>
    </row>
    <row r="620" spans="1:10" ht="14">
      <c r="A620" s="239"/>
      <c r="B620" s="273" t="s">
        <v>112</v>
      </c>
      <c r="C620" s="580">
        <v>57.482041271422197</v>
      </c>
      <c r="D620" s="580">
        <v>50.756190130190163</v>
      </c>
      <c r="E620" s="580">
        <v>52.440963518217309</v>
      </c>
      <c r="F620" s="580">
        <v>63.759385899638751</v>
      </c>
      <c r="G620" s="203"/>
      <c r="H620" s="203"/>
      <c r="I620" s="203"/>
      <c r="J620" s="203"/>
    </row>
    <row r="621" spans="1:10" ht="14">
      <c r="A621" s="239"/>
      <c r="B621" s="273" t="s">
        <v>113</v>
      </c>
      <c r="C621" s="580">
        <v>53.834516290315378</v>
      </c>
      <c r="D621" s="580">
        <v>79.828687506578277</v>
      </c>
      <c r="E621" s="580">
        <v>70.14227862151931</v>
      </c>
      <c r="F621" s="580">
        <v>50.346193418710207</v>
      </c>
      <c r="G621" s="203"/>
      <c r="H621" s="203"/>
      <c r="I621" s="203"/>
      <c r="J621" s="203"/>
    </row>
    <row r="622" spans="1:10" ht="14">
      <c r="A622" s="239"/>
      <c r="B622" s="273" t="s">
        <v>114</v>
      </c>
      <c r="C622" s="580">
        <v>62.24160955713473</v>
      </c>
      <c r="D622" s="580">
        <v>54.583981137585447</v>
      </c>
      <c r="E622" s="580">
        <v>77.195002351197431</v>
      </c>
      <c r="F622" s="580">
        <v>80.495891560783704</v>
      </c>
      <c r="G622" s="203"/>
      <c r="H622" s="203"/>
      <c r="I622" s="203"/>
      <c r="J622" s="203"/>
    </row>
    <row r="623" spans="1:10" ht="14">
      <c r="A623" s="239"/>
      <c r="B623" s="273" t="s">
        <v>115</v>
      </c>
      <c r="C623" s="580">
        <v>53.015432248323393</v>
      </c>
      <c r="D623" s="580">
        <v>86.857497107588131</v>
      </c>
      <c r="E623" s="580">
        <v>85.687783734805791</v>
      </c>
      <c r="F623" s="580">
        <v>50.285170609676527</v>
      </c>
      <c r="G623" s="203"/>
      <c r="H623" s="203"/>
      <c r="I623" s="203"/>
      <c r="J623" s="203"/>
    </row>
    <row r="624" spans="1:10" ht="14">
      <c r="A624" s="240"/>
      <c r="B624" s="274" t="s">
        <v>116</v>
      </c>
      <c r="C624" s="582">
        <v>45.110481258606598</v>
      </c>
      <c r="D624" s="582">
        <v>18.45561010431954</v>
      </c>
      <c r="E624" s="582">
        <v>87.721149810091035</v>
      </c>
      <c r="F624" s="582">
        <v>56.006837954890237</v>
      </c>
      <c r="G624" s="203"/>
      <c r="H624" s="203"/>
      <c r="I624" s="203"/>
      <c r="J624" s="203"/>
    </row>
    <row r="625" spans="1:10" ht="14">
      <c r="A625" s="238">
        <v>2024</v>
      </c>
      <c r="B625" s="272" t="s">
        <v>105</v>
      </c>
      <c r="C625" s="578">
        <v>61.248461165099613</v>
      </c>
      <c r="D625" s="578">
        <v>52.180703371243148</v>
      </c>
      <c r="E625" s="578">
        <v>56.007252666594397</v>
      </c>
      <c r="F625" s="578">
        <v>78.442722829519781</v>
      </c>
      <c r="G625" s="203"/>
      <c r="H625" s="203"/>
      <c r="I625" s="203"/>
      <c r="J625" s="203"/>
    </row>
    <row r="626" spans="1:10" ht="14">
      <c r="A626" s="239"/>
      <c r="B626" s="273" t="s">
        <v>106</v>
      </c>
      <c r="C626" s="580">
        <v>48.259664248976442</v>
      </c>
      <c r="D626" s="580">
        <v>52.68731932536469</v>
      </c>
      <c r="E626" s="580">
        <v>54.216764204079738</v>
      </c>
      <c r="F626" s="580">
        <v>81.300553732320637</v>
      </c>
      <c r="G626" s="203"/>
      <c r="H626" s="203"/>
      <c r="I626" s="203"/>
      <c r="J626" s="203"/>
    </row>
    <row r="627" spans="1:10" ht="14">
      <c r="A627" s="239"/>
      <c r="B627" s="273" t="s">
        <v>107</v>
      </c>
      <c r="C627" s="580">
        <v>63.798850523044543</v>
      </c>
      <c r="D627" s="580">
        <v>52.345000325458869</v>
      </c>
      <c r="E627" s="580">
        <v>52.325439503825848</v>
      </c>
      <c r="F627" s="580">
        <v>62.401735126360641</v>
      </c>
      <c r="G627" s="203"/>
      <c r="H627" s="203"/>
      <c r="I627" s="203"/>
      <c r="J627" s="203"/>
    </row>
    <row r="628" spans="1:10" ht="14">
      <c r="A628" s="239"/>
      <c r="B628" s="273" t="s">
        <v>108</v>
      </c>
      <c r="C628" s="598">
        <v>57.38428201433495</v>
      </c>
      <c r="D628" s="598">
        <v>73.695575537555229</v>
      </c>
      <c r="E628" s="598">
        <v>43.922098834018833</v>
      </c>
      <c r="F628" s="598">
        <v>61.121220660804013</v>
      </c>
      <c r="G628" s="203"/>
      <c r="H628" s="203"/>
      <c r="I628" s="203"/>
      <c r="J628" s="203"/>
    </row>
    <row r="629" spans="1:10" ht="14">
      <c r="A629" s="239"/>
      <c r="B629" s="273" t="s">
        <v>109</v>
      </c>
      <c r="C629" s="580">
        <v>59.037602751422952</v>
      </c>
      <c r="D629" s="580">
        <v>50.316488345759758</v>
      </c>
      <c r="E629" s="580">
        <v>51.855776143183213</v>
      </c>
      <c r="F629" s="580">
        <v>43.412112128771753</v>
      </c>
      <c r="G629" s="203"/>
      <c r="H629" s="203"/>
      <c r="I629" s="203"/>
      <c r="J629" s="203"/>
    </row>
    <row r="630" spans="1:10" ht="14">
      <c r="A630" s="239"/>
      <c r="B630" s="273" t="s">
        <v>110</v>
      </c>
      <c r="C630" s="580">
        <v>51.093315000789339</v>
      </c>
      <c r="D630" s="580">
        <v>53.070172465171161</v>
      </c>
      <c r="E630" s="580">
        <v>51.312326439076287</v>
      </c>
      <c r="F630" s="580">
        <v>44.058627601755973</v>
      </c>
      <c r="G630" s="203"/>
      <c r="H630" s="203"/>
      <c r="I630" s="203"/>
      <c r="J630" s="203"/>
    </row>
    <row r="631" spans="1:10" ht="14">
      <c r="A631" s="239"/>
      <c r="B631" s="273" t="s">
        <v>117</v>
      </c>
      <c r="C631" s="580">
        <v>65.09555288784675</v>
      </c>
      <c r="D631" s="580">
        <v>51.250995981647257</v>
      </c>
      <c r="E631" s="580">
        <v>88.183117133355154</v>
      </c>
      <c r="F631" s="580">
        <v>82.146955632702756</v>
      </c>
      <c r="G631" s="203"/>
      <c r="H631" s="203"/>
      <c r="I631" s="203"/>
      <c r="J631" s="203"/>
    </row>
    <row r="632" spans="1:10" ht="14">
      <c r="A632" s="239"/>
      <c r="B632" s="273" t="s">
        <v>112</v>
      </c>
      <c r="C632" s="580">
        <v>49.009823548642828</v>
      </c>
      <c r="D632" s="580">
        <v>29.85103912091882</v>
      </c>
      <c r="E632" s="580">
        <v>51.056189593329769</v>
      </c>
      <c r="F632" s="580">
        <v>63.638385306863242</v>
      </c>
      <c r="G632" s="203"/>
      <c r="H632" s="203"/>
      <c r="I632" s="203"/>
      <c r="J632" s="203"/>
    </row>
    <row r="633" spans="1:10" ht="14">
      <c r="A633" s="239"/>
      <c r="B633" s="273" t="s">
        <v>113</v>
      </c>
      <c r="C633" s="580">
        <v>59.125349859364327</v>
      </c>
      <c r="D633" s="580">
        <v>52.194309264919568</v>
      </c>
      <c r="E633" s="580">
        <v>52.196087883396267</v>
      </c>
      <c r="F633" s="580">
        <v>26.16357640021727</v>
      </c>
      <c r="G633" s="203"/>
      <c r="H633" s="203"/>
      <c r="I633" s="203"/>
      <c r="J633" s="203"/>
    </row>
    <row r="634" spans="1:10" ht="14">
      <c r="A634" s="239"/>
      <c r="B634" s="273" t="s">
        <v>114</v>
      </c>
      <c r="C634" s="580">
        <v>54.528963655130759</v>
      </c>
      <c r="D634" s="580">
        <v>50.364385835458407</v>
      </c>
      <c r="E634" s="580">
        <v>50.583799184115009</v>
      </c>
      <c r="F634" s="580">
        <v>44.208093638363017</v>
      </c>
      <c r="G634" s="203"/>
      <c r="H634" s="203"/>
      <c r="I634" s="203"/>
      <c r="J634" s="203"/>
    </row>
    <row r="635" spans="1:10" ht="14">
      <c r="A635" s="239"/>
      <c r="B635" s="273" t="s">
        <v>115</v>
      </c>
      <c r="C635" s="580">
        <v>51.469178331285107</v>
      </c>
      <c r="D635" s="580">
        <v>53.776860232117308</v>
      </c>
      <c r="E635" s="580">
        <v>51.977610340976042</v>
      </c>
      <c r="F635" s="580">
        <v>44.478745112009939</v>
      </c>
      <c r="G635" s="203"/>
      <c r="H635" s="203"/>
      <c r="I635" s="203"/>
      <c r="J635" s="203"/>
    </row>
    <row r="636" spans="1:10" ht="14">
      <c r="A636" s="240"/>
      <c r="B636" s="274" t="s">
        <v>116</v>
      </c>
      <c r="C636" s="582">
        <v>38.456577573536698</v>
      </c>
      <c r="D636" s="582">
        <v>53.19194968495885</v>
      </c>
      <c r="E636" s="582">
        <v>51.390979855096553</v>
      </c>
      <c r="F636" s="582">
        <v>42.745964417786467</v>
      </c>
      <c r="G636" s="203"/>
      <c r="H636" s="203"/>
      <c r="I636" s="203"/>
      <c r="J636" s="203"/>
    </row>
    <row r="637" spans="1:10" ht="14">
      <c r="A637" s="238">
        <v>2025</v>
      </c>
      <c r="B637" s="272" t="s">
        <v>105</v>
      </c>
      <c r="C637" s="578">
        <v>60.303915778854787</v>
      </c>
      <c r="D637" s="578">
        <v>51.26436371543732</v>
      </c>
      <c r="E637" s="578">
        <v>49.440284615585547</v>
      </c>
      <c r="F637" s="578">
        <v>46.772100183982339</v>
      </c>
      <c r="G637" s="203"/>
      <c r="H637" s="203"/>
      <c r="I637" s="203"/>
      <c r="J637" s="203"/>
    </row>
    <row r="638" spans="1:10" ht="14">
      <c r="A638" s="239"/>
      <c r="B638" s="273" t="s">
        <v>106</v>
      </c>
      <c r="C638" s="580">
        <v>35.996141708659472</v>
      </c>
      <c r="D638" s="580">
        <v>53.046046734077997</v>
      </c>
      <c r="E638" s="580">
        <v>50.898400947655553</v>
      </c>
      <c r="F638" s="580">
        <v>41.119322901573582</v>
      </c>
      <c r="G638" s="203"/>
      <c r="H638" s="203"/>
      <c r="I638" s="203"/>
      <c r="J638" s="203"/>
    </row>
    <row r="639" spans="1:10" ht="14">
      <c r="A639" s="239"/>
      <c r="B639" s="273" t="s">
        <v>107</v>
      </c>
      <c r="C639" s="580">
        <v>61.61626524883949</v>
      </c>
      <c r="D639" s="580">
        <v>63.947615548379751</v>
      </c>
      <c r="E639" s="580">
        <v>64.948689603904327</v>
      </c>
      <c r="F639" s="580">
        <v>59.246413330340928</v>
      </c>
      <c r="G639" s="203"/>
      <c r="H639" s="203"/>
      <c r="I639" s="203"/>
      <c r="J639" s="203"/>
    </row>
    <row r="640" spans="1:10" ht="14">
      <c r="A640" s="239"/>
      <c r="B640" s="273" t="s">
        <v>108</v>
      </c>
      <c r="C640" s="580">
        <v>44.728538783613367</v>
      </c>
      <c r="D640" s="580">
        <v>50.238051057825253</v>
      </c>
      <c r="E640" s="580">
        <v>60.001934801146128</v>
      </c>
      <c r="F640" s="580">
        <v>56.503772949807349</v>
      </c>
      <c r="G640" s="203"/>
      <c r="H640" s="203"/>
      <c r="I640" s="203"/>
      <c r="J640" s="203"/>
    </row>
    <row r="641" spans="1:10" ht="14">
      <c r="A641" s="239"/>
      <c r="B641" s="273" t="s">
        <v>109</v>
      </c>
      <c r="C641" s="580">
        <v>50.808301244200791</v>
      </c>
      <c r="D641" s="580">
        <v>52.588469929946569</v>
      </c>
      <c r="E641" s="580">
        <v>41.723526406363447</v>
      </c>
      <c r="F641" s="580">
        <v>36.839214293603092</v>
      </c>
      <c r="G641" s="203"/>
      <c r="H641" s="203"/>
      <c r="I641" s="203"/>
      <c r="J641" s="203"/>
    </row>
    <row r="642" spans="1:10" ht="14">
      <c r="A642" s="239"/>
      <c r="B642" s="273" t="s">
        <v>110</v>
      </c>
      <c r="C642" s="594">
        <v>41.718870603778633</v>
      </c>
      <c r="D642" s="594">
        <v>50.964674296846049</v>
      </c>
      <c r="E642" s="594">
        <v>77.243853700562397</v>
      </c>
      <c r="F642" s="594">
        <v>62.889797564356989</v>
      </c>
      <c r="G642" s="203"/>
      <c r="H642" s="203"/>
      <c r="I642" s="203"/>
      <c r="J642" s="203"/>
    </row>
    <row r="643" spans="1:10" ht="14">
      <c r="A643" s="239"/>
      <c r="B643" s="273" t="s">
        <v>117</v>
      </c>
      <c r="C643" s="594">
        <v>61.361154248088873</v>
      </c>
      <c r="D643" s="594">
        <v>53.1065111303039</v>
      </c>
      <c r="E643" s="594">
        <v>54.33461451422265</v>
      </c>
      <c r="F643" s="594">
        <v>63.211754642404387</v>
      </c>
      <c r="G643" s="203"/>
      <c r="H643" s="203"/>
      <c r="I643" s="203"/>
      <c r="J643" s="203"/>
    </row>
    <row r="644" spans="1:10" ht="14">
      <c r="A644" s="239"/>
      <c r="B644" s="273" t="s">
        <v>112</v>
      </c>
      <c r="C644" s="594">
        <v>35.414775309635509</v>
      </c>
      <c r="D644" s="594">
        <v>52.041560801377997</v>
      </c>
      <c r="E644" s="594">
        <v>51.824635696138976</v>
      </c>
      <c r="F644" s="594">
        <v>29.556998031707089</v>
      </c>
      <c r="G644" s="203"/>
      <c r="H644" s="203"/>
      <c r="I644" s="203"/>
      <c r="J644" s="203"/>
    </row>
    <row r="645" spans="1:10" ht="14">
      <c r="A645" s="239"/>
      <c r="B645" s="273" t="s">
        <v>113</v>
      </c>
      <c r="C645" s="594">
        <v>51.874077317263627</v>
      </c>
      <c r="D645" s="594">
        <v>52.08325696299994</v>
      </c>
      <c r="E645" s="594">
        <v>54.395988408254212</v>
      </c>
      <c r="F645" s="594">
        <v>66.317852639314978</v>
      </c>
      <c r="G645" s="203"/>
      <c r="H645" s="203"/>
      <c r="I645" s="203"/>
      <c r="J645" s="203"/>
    </row>
    <row r="646" spans="1:10" ht="14">
      <c r="A646" s="239"/>
      <c r="B646" s="273" t="s">
        <v>114</v>
      </c>
      <c r="C646" s="594">
        <v>46.335133859824467</v>
      </c>
      <c r="D646" s="594">
        <v>51.39183861687512</v>
      </c>
      <c r="E646" s="594">
        <v>69.87028183372091</v>
      </c>
      <c r="F646" s="594">
        <v>49.481207165045468</v>
      </c>
      <c r="G646" s="203"/>
      <c r="H646" s="203"/>
      <c r="I646" s="203"/>
      <c r="J646" s="203"/>
    </row>
    <row r="647" spans="1:10" ht="14">
      <c r="A647" s="239"/>
      <c r="B647" s="273" t="s">
        <v>115</v>
      </c>
      <c r="C647" s="594">
        <v>64.692822487080193</v>
      </c>
      <c r="D647" s="594">
        <v>53.235546214317971</v>
      </c>
      <c r="E647" s="594">
        <v>53.709179204663577</v>
      </c>
      <c r="F647" s="594">
        <v>81.658189743752573</v>
      </c>
      <c r="G647" s="203"/>
      <c r="H647" s="203"/>
      <c r="I647" s="203"/>
      <c r="J647" s="203"/>
    </row>
    <row r="648" spans="1:10" ht="14">
      <c r="A648" s="240"/>
      <c r="B648" s="274" t="s">
        <v>116</v>
      </c>
      <c r="C648" s="595">
        <v>48.788930365357572</v>
      </c>
      <c r="D648" s="595">
        <v>51.363408889690923</v>
      </c>
      <c r="E648" s="595">
        <v>50.541125572207243</v>
      </c>
      <c r="F648" s="595">
        <v>37.885187888751759</v>
      </c>
      <c r="G648" s="203"/>
      <c r="H648" s="203"/>
      <c r="I648" s="203"/>
      <c r="J648" s="203"/>
    </row>
    <row r="649" spans="1:10" ht="14">
      <c r="A649" s="238">
        <v>2026</v>
      </c>
      <c r="B649" s="272" t="s">
        <v>105</v>
      </c>
      <c r="C649" s="686">
        <v>50.549728098935013</v>
      </c>
      <c r="D649" s="686">
        <v>51.549505735414549</v>
      </c>
      <c r="E649" s="686">
        <v>49.832907532183732</v>
      </c>
      <c r="F649" s="686">
        <v>58.979399482126823</v>
      </c>
      <c r="G649" s="203"/>
      <c r="H649" s="203"/>
      <c r="I649" s="203"/>
      <c r="J649" s="203"/>
    </row>
    <row r="650" spans="1:10" ht="14">
      <c r="A650" s="239"/>
      <c r="B650" s="273" t="s">
        <v>106</v>
      </c>
      <c r="C650" s="594">
        <v>49.902785279914859</v>
      </c>
      <c r="D650" s="594">
        <v>51.419178408221207</v>
      </c>
      <c r="E650" s="594">
        <v>77.29553028907263</v>
      </c>
      <c r="F650" s="594">
        <v>47.081442150886502</v>
      </c>
      <c r="G650" s="203"/>
      <c r="H650" s="203"/>
      <c r="I650" s="203"/>
      <c r="J650" s="203"/>
    </row>
    <row r="651" spans="1:10" ht="14">
      <c r="A651" s="240"/>
      <c r="B651" s="274" t="s">
        <v>107</v>
      </c>
      <c r="C651" s="595">
        <v>56.406216681031147</v>
      </c>
      <c r="D651" s="595">
        <v>66.437013011402513</v>
      </c>
      <c r="E651" s="595">
        <v>30.307021510074311</v>
      </c>
      <c r="F651" s="595">
        <v>50.705971384071063</v>
      </c>
      <c r="G651" s="203"/>
      <c r="H651" s="203"/>
      <c r="I651" s="203"/>
      <c r="J651" s="203"/>
    </row>
    <row r="653" spans="1:10">
      <c r="A653" s="710" t="s">
        <v>118</v>
      </c>
      <c r="B653" s="710"/>
      <c r="C653" s="710"/>
      <c r="D653" s="710"/>
      <c r="E653" s="710"/>
      <c r="F653" s="710"/>
    </row>
    <row r="655" spans="1:10">
      <c r="A655" s="832" t="s">
        <v>168</v>
      </c>
      <c r="B655" s="832"/>
      <c r="C655" s="832"/>
      <c r="D655" s="832"/>
      <c r="E655" s="832"/>
      <c r="F655" s="832"/>
    </row>
  </sheetData>
  <sheetProtection sheet="1" formatCells="0" insertColumns="0" insertRows="0" deleteColumns="0" deleteRows="0"/>
  <mergeCells count="31">
    <mergeCell ref="A222:B223"/>
    <mergeCell ref="C222:F222"/>
    <mergeCell ref="A294:B295"/>
    <mergeCell ref="C294:F294"/>
    <mergeCell ref="A366:B367"/>
    <mergeCell ref="C366:F366"/>
    <mergeCell ref="A293:F293"/>
    <mergeCell ref="A365:F365"/>
    <mergeCell ref="A655:F655"/>
    <mergeCell ref="A581:F581"/>
    <mergeCell ref="A509:F509"/>
    <mergeCell ref="A437:F437"/>
    <mergeCell ref="A582:B583"/>
    <mergeCell ref="C582:F582"/>
    <mergeCell ref="A438:B439"/>
    <mergeCell ref="C438:F438"/>
    <mergeCell ref="A510:B511"/>
    <mergeCell ref="C510:F510"/>
    <mergeCell ref="A653:F653"/>
    <mergeCell ref="A221:F221"/>
    <mergeCell ref="A149:F149"/>
    <mergeCell ref="A77:F77"/>
    <mergeCell ref="A5:F5"/>
    <mergeCell ref="A1:F1"/>
    <mergeCell ref="A6:B7"/>
    <mergeCell ref="C6:F6"/>
    <mergeCell ref="A78:B79"/>
    <mergeCell ref="C78:F78"/>
    <mergeCell ref="A150:B151"/>
    <mergeCell ref="C150:F150"/>
    <mergeCell ref="A3:F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194"/>
  <sheetViews>
    <sheetView zoomScaleNormal="100" workbookViewId="0">
      <pane xSplit="2" ySplit="4" topLeftCell="C175" activePane="bottomRight" state="frozen"/>
      <selection pane="topRight" activeCell="G147" sqref="G147"/>
      <selection pane="bottomLeft" activeCell="G147" sqref="G147"/>
      <selection pane="bottomRight" activeCell="H191" sqref="H191"/>
    </sheetView>
  </sheetViews>
  <sheetFormatPr defaultColWidth="9.1796875" defaultRowHeight="13"/>
  <cols>
    <col min="1" max="1" width="6.81640625" style="65" customWidth="1"/>
    <col min="2" max="2" width="12" style="65" customWidth="1"/>
    <col min="3" max="3" width="25.08984375" style="65" customWidth="1"/>
    <col min="4" max="5" width="23.1796875" style="65" customWidth="1"/>
    <col min="6" max="6" width="21.90625" style="65" customWidth="1"/>
    <col min="7" max="7" width="9.1796875" style="65" customWidth="1"/>
    <col min="8" max="16384" width="9.1796875" style="65"/>
  </cols>
  <sheetData>
    <row r="1" spans="1:6" ht="14.25" customHeight="1">
      <c r="A1" s="709" t="s">
        <v>371</v>
      </c>
      <c r="B1" s="709"/>
      <c r="C1" s="709"/>
      <c r="D1" s="709"/>
      <c r="E1" s="709"/>
    </row>
    <row r="2" spans="1:6" ht="12.75" customHeight="1">
      <c r="A2" s="92"/>
      <c r="B2" s="92"/>
      <c r="C2" s="92"/>
      <c r="D2" s="92"/>
      <c r="E2" s="92"/>
      <c r="F2" s="604" t="s">
        <v>184</v>
      </c>
    </row>
    <row r="3" spans="1:6" ht="15" customHeight="1">
      <c r="A3" s="761" t="s">
        <v>98</v>
      </c>
      <c r="B3" s="761"/>
      <c r="C3" s="759" t="s">
        <v>372</v>
      </c>
      <c r="D3" s="759" t="s">
        <v>373</v>
      </c>
      <c r="E3" s="759" t="s">
        <v>374</v>
      </c>
      <c r="F3" s="759" t="s">
        <v>375</v>
      </c>
    </row>
    <row r="4" spans="1:6" ht="15" customHeight="1">
      <c r="A4" s="761"/>
      <c r="B4" s="761"/>
      <c r="C4" s="759"/>
      <c r="D4" s="759"/>
      <c r="E4" s="759"/>
      <c r="F4" s="759"/>
    </row>
    <row r="5" spans="1:6" ht="15" customHeight="1">
      <c r="A5" s="238">
        <v>2011</v>
      </c>
      <c r="B5" s="272" t="s">
        <v>105</v>
      </c>
      <c r="C5" s="605">
        <v>0.41860000000000003</v>
      </c>
      <c r="D5" s="606">
        <v>0.53693999999999997</v>
      </c>
      <c r="E5" s="605">
        <v>0.82111000000000001</v>
      </c>
      <c r="F5" s="607">
        <v>5.5</v>
      </c>
    </row>
    <row r="6" spans="1:6" ht="14">
      <c r="A6" s="239"/>
      <c r="B6" s="273" t="s">
        <v>106</v>
      </c>
      <c r="C6" s="608">
        <v>0.42080000000000001</v>
      </c>
      <c r="D6" s="609">
        <v>0.53690000000000004</v>
      </c>
      <c r="E6" s="608">
        <v>0.82110000000000005</v>
      </c>
      <c r="F6" s="610">
        <v>5.5</v>
      </c>
    </row>
    <row r="7" spans="1:6" ht="14">
      <c r="A7" s="239"/>
      <c r="B7" s="273" t="s">
        <v>107</v>
      </c>
      <c r="C7" s="608">
        <v>0.42520000000000002</v>
      </c>
      <c r="D7" s="609">
        <v>0.53690000000000004</v>
      </c>
      <c r="E7" s="608">
        <v>0.81440000000000001</v>
      </c>
      <c r="F7" s="610">
        <v>5.5</v>
      </c>
    </row>
    <row r="8" spans="1:6" ht="14">
      <c r="A8" s="239"/>
      <c r="B8" s="273" t="s">
        <v>108</v>
      </c>
      <c r="C8" s="608">
        <v>0.42860999999999999</v>
      </c>
      <c r="D8" s="609">
        <v>0.53471999999999997</v>
      </c>
      <c r="E8" s="608">
        <v>0.81330000000000002</v>
      </c>
      <c r="F8" s="610">
        <v>5.5</v>
      </c>
    </row>
    <row r="9" spans="1:6" ht="14">
      <c r="A9" s="239"/>
      <c r="B9" s="273" t="s">
        <v>109</v>
      </c>
      <c r="C9" s="608">
        <v>0.41830000000000001</v>
      </c>
      <c r="D9" s="609">
        <v>0.52659999999999996</v>
      </c>
      <c r="E9" s="608">
        <v>0.78400000000000003</v>
      </c>
      <c r="F9" s="610">
        <v>5.5</v>
      </c>
    </row>
    <row r="10" spans="1:6" ht="14">
      <c r="A10" s="239"/>
      <c r="B10" s="273" t="s">
        <v>110</v>
      </c>
      <c r="C10" s="608">
        <v>0.41799999999999998</v>
      </c>
      <c r="D10" s="609">
        <v>0.52769999999999995</v>
      </c>
      <c r="E10" s="608">
        <v>0.78300000000000003</v>
      </c>
      <c r="F10" s="610">
        <v>5.5</v>
      </c>
    </row>
    <row r="11" spans="1:6" ht="14">
      <c r="A11" s="239"/>
      <c r="B11" s="273" t="s">
        <v>111</v>
      </c>
      <c r="C11" s="608">
        <v>0.40720000000000001</v>
      </c>
      <c r="D11" s="609">
        <v>0.50439999999999996</v>
      </c>
      <c r="E11" s="608">
        <v>0.75880000000000003</v>
      </c>
      <c r="F11" s="610">
        <v>5.5</v>
      </c>
    </row>
    <row r="12" spans="1:6" ht="14">
      <c r="A12" s="239"/>
      <c r="B12" s="273" t="s">
        <v>112</v>
      </c>
      <c r="C12" s="608">
        <v>0.37387999999999999</v>
      </c>
      <c r="D12" s="609">
        <v>0.46439999999999998</v>
      </c>
      <c r="E12" s="608">
        <v>0.78159999999999996</v>
      </c>
      <c r="F12" s="610">
        <v>5.5</v>
      </c>
    </row>
    <row r="13" spans="1:6" ht="14">
      <c r="A13" s="239"/>
      <c r="B13" s="273" t="s">
        <v>113</v>
      </c>
      <c r="C13" s="608">
        <v>0.36830000000000002</v>
      </c>
      <c r="D13" s="609">
        <v>0.46660000000000001</v>
      </c>
      <c r="E13" s="608">
        <v>0.70555000000000001</v>
      </c>
      <c r="F13" s="610">
        <v>5.5</v>
      </c>
    </row>
    <row r="14" spans="1:6" ht="14">
      <c r="A14" s="239"/>
      <c r="B14" s="273" t="s">
        <v>114</v>
      </c>
      <c r="C14" s="608">
        <v>0.36054999999999998</v>
      </c>
      <c r="D14" s="609">
        <v>0.46</v>
      </c>
      <c r="E14" s="608">
        <v>0.69199999999999995</v>
      </c>
      <c r="F14" s="610">
        <v>5.5</v>
      </c>
    </row>
    <row r="15" spans="1:6" ht="14">
      <c r="A15" s="239"/>
      <c r="B15" s="273" t="s">
        <v>115</v>
      </c>
      <c r="C15" s="608">
        <v>0.35499999999999998</v>
      </c>
      <c r="D15" s="609">
        <v>0.45400000000000001</v>
      </c>
      <c r="E15" s="608">
        <v>0.64100000000000001</v>
      </c>
      <c r="F15" s="610">
        <v>5.5</v>
      </c>
    </row>
    <row r="16" spans="1:6" ht="14">
      <c r="A16" s="240"/>
      <c r="B16" s="274" t="s">
        <v>116</v>
      </c>
      <c r="C16" s="611">
        <v>0.3538</v>
      </c>
      <c r="D16" s="612">
        <v>0.45444000000000001</v>
      </c>
      <c r="E16" s="611">
        <v>0.64</v>
      </c>
      <c r="F16" s="613">
        <v>5.5</v>
      </c>
    </row>
    <row r="17" spans="1:6" ht="14">
      <c r="A17" s="239">
        <v>2012</v>
      </c>
      <c r="B17" s="273" t="s">
        <v>105</v>
      </c>
      <c r="C17" s="608">
        <v>0.29610999999999998</v>
      </c>
      <c r="D17" s="609">
        <v>0.39879999999999999</v>
      </c>
      <c r="E17" s="608">
        <v>0.58887999999999996</v>
      </c>
      <c r="F17" s="610">
        <v>5.5</v>
      </c>
    </row>
    <row r="18" spans="1:6" ht="14">
      <c r="A18" s="239"/>
      <c r="B18" s="273" t="s">
        <v>106</v>
      </c>
      <c r="C18" s="608">
        <v>0.25829999999999997</v>
      </c>
      <c r="D18" s="609">
        <v>0.35443999999999998</v>
      </c>
      <c r="E18" s="608">
        <v>0.5333</v>
      </c>
      <c r="F18" s="610">
        <v>5.5</v>
      </c>
    </row>
    <row r="19" spans="1:6" ht="14">
      <c r="A19" s="239"/>
      <c r="B19" s="273" t="s">
        <v>107</v>
      </c>
      <c r="C19" s="608">
        <v>0.24554999999999999</v>
      </c>
      <c r="D19" s="609">
        <v>0.34222000000000002</v>
      </c>
      <c r="E19" s="608">
        <v>0.50777000000000005</v>
      </c>
      <c r="F19" s="610">
        <v>5.5</v>
      </c>
    </row>
    <row r="20" spans="1:6" ht="14">
      <c r="A20" s="239"/>
      <c r="B20" s="273" t="s">
        <v>108</v>
      </c>
      <c r="C20" s="608">
        <v>0.24555555555555555</v>
      </c>
      <c r="D20" s="609">
        <v>0.3444444444444445</v>
      </c>
      <c r="E20" s="608">
        <v>0.50444444444444447</v>
      </c>
      <c r="F20" s="610">
        <v>5.5</v>
      </c>
    </row>
    <row r="21" spans="1:6" ht="14">
      <c r="A21" s="239"/>
      <c r="B21" s="273" t="s">
        <v>109</v>
      </c>
      <c r="C21" s="608">
        <v>0.24333333333333332</v>
      </c>
      <c r="D21" s="609">
        <v>0.3444444444444445</v>
      </c>
      <c r="E21" s="608">
        <v>0.50333333333333341</v>
      </c>
      <c r="F21" s="610">
        <v>5.5</v>
      </c>
    </row>
    <row r="22" spans="1:6" ht="14">
      <c r="A22" s="239"/>
      <c r="B22" s="273" t="s">
        <v>110</v>
      </c>
      <c r="C22" s="608">
        <v>0.2477</v>
      </c>
      <c r="D22" s="609">
        <v>0.35</v>
      </c>
      <c r="E22" s="608">
        <v>0.50219999999999998</v>
      </c>
      <c r="F22" s="610">
        <v>5.5</v>
      </c>
    </row>
    <row r="23" spans="1:6" ht="14">
      <c r="A23" s="239"/>
      <c r="B23" s="273" t="s">
        <v>111</v>
      </c>
      <c r="C23" s="608">
        <v>0.24879999999999999</v>
      </c>
      <c r="D23" s="609">
        <v>0.34777000000000002</v>
      </c>
      <c r="E23" s="608">
        <v>0.50109999999999999</v>
      </c>
      <c r="F23" s="610">
        <v>5.5</v>
      </c>
    </row>
    <row r="24" spans="1:6" ht="14">
      <c r="A24" s="239"/>
      <c r="B24" s="273" t="s">
        <v>112</v>
      </c>
      <c r="C24" s="608">
        <v>0.2</v>
      </c>
      <c r="D24" s="609">
        <v>0.28999999999999998</v>
      </c>
      <c r="E24" s="608">
        <v>0.44800000000000001</v>
      </c>
      <c r="F24" s="610">
        <v>5.5</v>
      </c>
    </row>
    <row r="25" spans="1:6" ht="14">
      <c r="A25" s="239"/>
      <c r="B25" s="273" t="s">
        <v>113</v>
      </c>
      <c r="C25" s="608">
        <v>0.1988</v>
      </c>
      <c r="D25" s="609">
        <v>0.28439999999999999</v>
      </c>
      <c r="E25" s="608">
        <v>0.443</v>
      </c>
      <c r="F25" s="610">
        <v>5.5</v>
      </c>
    </row>
    <row r="26" spans="1:6" ht="14">
      <c r="A26" s="239"/>
      <c r="B26" s="273" t="s">
        <v>114</v>
      </c>
      <c r="C26" s="608">
        <v>0.19769999999999999</v>
      </c>
      <c r="D26" s="609">
        <v>0.2833</v>
      </c>
      <c r="E26" s="608">
        <v>0.442</v>
      </c>
      <c r="F26" s="610">
        <v>5.5</v>
      </c>
    </row>
    <row r="27" spans="1:6" ht="14">
      <c r="A27" s="239"/>
      <c r="B27" s="273" t="s">
        <v>115</v>
      </c>
      <c r="C27" s="608">
        <v>0.19439999999999999</v>
      </c>
      <c r="D27" s="609">
        <v>0.27329999999999999</v>
      </c>
      <c r="E27" s="608">
        <v>0.44</v>
      </c>
      <c r="F27" s="610">
        <v>5.5</v>
      </c>
    </row>
    <row r="28" spans="1:6" ht="14">
      <c r="A28" s="239"/>
      <c r="B28" s="273" t="s">
        <v>116</v>
      </c>
      <c r="C28" s="608">
        <v>0.20219999999999999</v>
      </c>
      <c r="D28" s="609">
        <v>0.2833</v>
      </c>
      <c r="E28" s="608">
        <v>0.44</v>
      </c>
      <c r="F28" s="610">
        <v>5.5</v>
      </c>
    </row>
    <row r="29" spans="1:6" ht="14">
      <c r="A29" s="238">
        <v>2013</v>
      </c>
      <c r="B29" s="272" t="s">
        <v>105</v>
      </c>
      <c r="C29" s="614">
        <v>0.20549999999999999</v>
      </c>
      <c r="D29" s="615">
        <v>0.28333000000000003</v>
      </c>
      <c r="E29" s="614">
        <v>0.44440000000000002</v>
      </c>
      <c r="F29" s="607">
        <v>5.5</v>
      </c>
    </row>
    <row r="30" spans="1:6" ht="14">
      <c r="A30" s="239"/>
      <c r="B30" s="273" t="s">
        <v>106</v>
      </c>
      <c r="C30" s="616">
        <v>0.20666000000000001</v>
      </c>
      <c r="D30" s="617">
        <v>0.28444000000000003</v>
      </c>
      <c r="E30" s="616">
        <v>0.44330000000000003</v>
      </c>
      <c r="F30" s="610">
        <v>5.5</v>
      </c>
    </row>
    <row r="31" spans="1:6" ht="14">
      <c r="A31" s="239"/>
      <c r="B31" s="273" t="s">
        <v>107</v>
      </c>
      <c r="C31" s="616">
        <v>0.3</v>
      </c>
      <c r="D31" s="617">
        <v>0.45710000000000001</v>
      </c>
      <c r="E31" s="616">
        <v>0.75</v>
      </c>
      <c r="F31" s="610">
        <v>5.5</v>
      </c>
    </row>
    <row r="32" spans="1:6" ht="14">
      <c r="A32" s="239"/>
      <c r="B32" s="273" t="s">
        <v>108</v>
      </c>
      <c r="C32" s="616">
        <v>0.3</v>
      </c>
      <c r="D32" s="617">
        <v>0.45</v>
      </c>
      <c r="E32" s="616">
        <v>0.75</v>
      </c>
      <c r="F32" s="610">
        <v>5.5</v>
      </c>
    </row>
    <row r="33" spans="1:6" ht="14">
      <c r="A33" s="239"/>
      <c r="B33" s="273" t="s">
        <v>109</v>
      </c>
      <c r="C33" s="616">
        <v>0.3</v>
      </c>
      <c r="D33" s="617">
        <v>0.45</v>
      </c>
      <c r="E33" s="616">
        <v>0.75</v>
      </c>
      <c r="F33" s="610">
        <v>5.5</v>
      </c>
    </row>
    <row r="34" spans="1:6" ht="14">
      <c r="A34" s="239"/>
      <c r="B34" s="273" t="s">
        <v>110</v>
      </c>
      <c r="C34" s="616">
        <v>0.3</v>
      </c>
      <c r="D34" s="617">
        <v>0.45</v>
      </c>
      <c r="E34" s="616">
        <v>0.75</v>
      </c>
      <c r="F34" s="610">
        <v>5.5</v>
      </c>
    </row>
    <row r="35" spans="1:6" ht="14">
      <c r="A35" s="239"/>
      <c r="B35" s="273" t="s">
        <v>117</v>
      </c>
      <c r="C35" s="616">
        <v>0.3</v>
      </c>
      <c r="D35" s="617">
        <v>0.45</v>
      </c>
      <c r="E35" s="616">
        <v>0.75</v>
      </c>
      <c r="F35" s="610">
        <v>5.5</v>
      </c>
    </row>
    <row r="36" spans="1:6" ht="14">
      <c r="A36" s="239"/>
      <c r="B36" s="273" t="s">
        <v>112</v>
      </c>
      <c r="C36" s="616">
        <v>0.3</v>
      </c>
      <c r="D36" s="617">
        <v>0.45</v>
      </c>
      <c r="E36" s="616">
        <v>0.75</v>
      </c>
      <c r="F36" s="610">
        <v>5.5</v>
      </c>
    </row>
    <row r="37" spans="1:6" ht="14">
      <c r="A37" s="239"/>
      <c r="B37" s="273" t="s">
        <v>113</v>
      </c>
      <c r="C37" s="616">
        <v>0.3</v>
      </c>
      <c r="D37" s="617">
        <v>0.45</v>
      </c>
      <c r="E37" s="616">
        <v>0.75</v>
      </c>
      <c r="F37" s="610">
        <v>5.5</v>
      </c>
    </row>
    <row r="38" spans="1:6" ht="14">
      <c r="A38" s="239"/>
      <c r="B38" s="273" t="s">
        <v>114</v>
      </c>
      <c r="C38" s="616">
        <v>0.3</v>
      </c>
      <c r="D38" s="617">
        <v>0.45</v>
      </c>
      <c r="E38" s="616">
        <v>0.75</v>
      </c>
      <c r="F38" s="610">
        <v>5.5</v>
      </c>
    </row>
    <row r="39" spans="1:6" ht="14">
      <c r="A39" s="239"/>
      <c r="B39" s="273" t="s">
        <v>115</v>
      </c>
      <c r="C39" s="616">
        <v>0.3</v>
      </c>
      <c r="D39" s="617">
        <v>0.45</v>
      </c>
      <c r="E39" s="616">
        <v>0.75</v>
      </c>
      <c r="F39" s="610">
        <v>5.5</v>
      </c>
    </row>
    <row r="40" spans="1:6" ht="14">
      <c r="A40" s="240"/>
      <c r="B40" s="274" t="s">
        <v>116</v>
      </c>
      <c r="C40" s="618">
        <v>0.3</v>
      </c>
      <c r="D40" s="618">
        <v>0.45</v>
      </c>
      <c r="E40" s="618">
        <v>0.75</v>
      </c>
      <c r="F40" s="613">
        <v>5.5</v>
      </c>
    </row>
    <row r="41" spans="1:6" ht="14">
      <c r="A41" s="238">
        <v>2014</v>
      </c>
      <c r="B41" s="272" t="s">
        <v>105</v>
      </c>
      <c r="C41" s="616">
        <v>0.3</v>
      </c>
      <c r="D41" s="617">
        <v>0.45</v>
      </c>
      <c r="E41" s="616">
        <v>0.75</v>
      </c>
      <c r="F41" s="607">
        <v>5.5</v>
      </c>
    </row>
    <row r="42" spans="1:6" ht="14">
      <c r="A42" s="239"/>
      <c r="B42" s="273" t="s">
        <v>106</v>
      </c>
      <c r="C42" s="616">
        <v>0.3</v>
      </c>
      <c r="D42" s="617">
        <v>0.45</v>
      </c>
      <c r="E42" s="616">
        <v>0.75</v>
      </c>
      <c r="F42" s="610">
        <v>5.5</v>
      </c>
    </row>
    <row r="43" spans="1:6" ht="14">
      <c r="A43" s="239"/>
      <c r="B43" s="273" t="s">
        <v>107</v>
      </c>
      <c r="C43" s="616">
        <v>0.3</v>
      </c>
      <c r="D43" s="617">
        <v>0.45</v>
      </c>
      <c r="E43" s="616">
        <v>0.75</v>
      </c>
      <c r="F43" s="610">
        <v>5.5</v>
      </c>
    </row>
    <row r="44" spans="1:6" ht="14">
      <c r="A44" s="239"/>
      <c r="B44" s="273" t="s">
        <v>108</v>
      </c>
      <c r="C44" s="616">
        <v>0.3</v>
      </c>
      <c r="D44" s="617">
        <v>0.45</v>
      </c>
      <c r="E44" s="616">
        <v>0.75</v>
      </c>
      <c r="F44" s="610">
        <v>5.5</v>
      </c>
    </row>
    <row r="45" spans="1:6" ht="14">
      <c r="A45" s="239"/>
      <c r="B45" s="273" t="s">
        <v>109</v>
      </c>
      <c r="C45" s="616">
        <v>0.3</v>
      </c>
      <c r="D45" s="617">
        <v>0.45</v>
      </c>
      <c r="E45" s="616">
        <v>0.75</v>
      </c>
      <c r="F45" s="610">
        <v>5.5</v>
      </c>
    </row>
    <row r="46" spans="1:6" ht="14">
      <c r="A46" s="239"/>
      <c r="B46" s="273" t="s">
        <v>110</v>
      </c>
      <c r="C46" s="616">
        <v>0.3</v>
      </c>
      <c r="D46" s="617">
        <v>0.45</v>
      </c>
      <c r="E46" s="616">
        <v>0.75</v>
      </c>
      <c r="F46" s="610">
        <v>5.5</v>
      </c>
    </row>
    <row r="47" spans="1:6" ht="14">
      <c r="A47" s="239"/>
      <c r="B47" s="273" t="s">
        <v>117</v>
      </c>
      <c r="C47" s="616">
        <v>0.3</v>
      </c>
      <c r="D47" s="617">
        <v>0.45</v>
      </c>
      <c r="E47" s="616">
        <v>0.75</v>
      </c>
      <c r="F47" s="610">
        <v>5.5</v>
      </c>
    </row>
    <row r="48" spans="1:6" ht="14">
      <c r="A48" s="239"/>
      <c r="B48" s="273" t="s">
        <v>112</v>
      </c>
      <c r="C48" s="616">
        <v>0.3</v>
      </c>
      <c r="D48" s="617">
        <v>0.45</v>
      </c>
      <c r="E48" s="616">
        <v>0.75</v>
      </c>
      <c r="F48" s="610">
        <v>5.5</v>
      </c>
    </row>
    <row r="49" spans="1:7" ht="14">
      <c r="A49" s="239"/>
      <c r="B49" s="273" t="s">
        <v>113</v>
      </c>
      <c r="C49" s="616">
        <v>0.3</v>
      </c>
      <c r="D49" s="617">
        <v>0.45</v>
      </c>
      <c r="E49" s="616">
        <v>0.75</v>
      </c>
      <c r="F49" s="610">
        <v>5.5</v>
      </c>
      <c r="G49" s="75"/>
    </row>
    <row r="50" spans="1:7" ht="14">
      <c r="A50" s="239"/>
      <c r="B50" s="273" t="s">
        <v>114</v>
      </c>
      <c r="C50" s="616">
        <v>0.3</v>
      </c>
      <c r="D50" s="617">
        <v>0.45</v>
      </c>
      <c r="E50" s="616">
        <v>0.75</v>
      </c>
      <c r="F50" s="616">
        <v>5.5</v>
      </c>
    </row>
    <row r="51" spans="1:7" ht="14">
      <c r="A51" s="239"/>
      <c r="B51" s="273" t="s">
        <v>115</v>
      </c>
      <c r="C51" s="616">
        <v>0.3</v>
      </c>
      <c r="D51" s="616">
        <v>0.45</v>
      </c>
      <c r="E51" s="616">
        <v>0.75</v>
      </c>
      <c r="F51" s="616">
        <v>5.5</v>
      </c>
    </row>
    <row r="52" spans="1:7" ht="14">
      <c r="A52" s="240"/>
      <c r="B52" s="274" t="s">
        <v>116</v>
      </c>
      <c r="C52" s="618">
        <v>0.3</v>
      </c>
      <c r="D52" s="618">
        <v>0.45</v>
      </c>
      <c r="E52" s="618">
        <v>0.75</v>
      </c>
      <c r="F52" s="618">
        <v>5.5</v>
      </c>
    </row>
    <row r="53" spans="1:7" ht="14">
      <c r="A53" s="239">
        <v>2015</v>
      </c>
      <c r="B53" s="273" t="s">
        <v>105</v>
      </c>
      <c r="C53" s="616">
        <v>0.30280000000000001</v>
      </c>
      <c r="D53" s="616">
        <v>0.43833299999999997</v>
      </c>
      <c r="E53" s="616">
        <v>0.73333000000000004</v>
      </c>
      <c r="F53" s="616">
        <v>5.5</v>
      </c>
    </row>
    <row r="54" spans="1:7" ht="14">
      <c r="A54" s="239"/>
      <c r="B54" s="251" t="s">
        <v>106</v>
      </c>
      <c r="C54" s="616">
        <v>0.30280000000000001</v>
      </c>
      <c r="D54" s="616">
        <v>0.44829999999999998</v>
      </c>
      <c r="E54" s="616">
        <v>0.73333000000000004</v>
      </c>
      <c r="F54" s="616">
        <v>5.5</v>
      </c>
    </row>
    <row r="55" spans="1:7" ht="14">
      <c r="A55" s="239"/>
      <c r="B55" s="251" t="s">
        <v>107</v>
      </c>
      <c r="C55" s="616">
        <v>0.34284999999999999</v>
      </c>
      <c r="D55" s="616">
        <v>0.44833329999999999</v>
      </c>
      <c r="E55" s="616">
        <v>0.73333300000000001</v>
      </c>
      <c r="F55" s="616">
        <v>5.5</v>
      </c>
    </row>
    <row r="56" spans="1:7" ht="14">
      <c r="A56" s="239"/>
      <c r="B56" s="251" t="s">
        <v>108</v>
      </c>
      <c r="C56" s="616">
        <v>0.34849999999999998</v>
      </c>
      <c r="D56" s="616">
        <v>0.44829999999999998</v>
      </c>
      <c r="E56" s="616">
        <v>0.73329999999999995</v>
      </c>
      <c r="F56" s="616">
        <v>5.5</v>
      </c>
    </row>
    <row r="57" spans="1:7" ht="14">
      <c r="A57" s="239"/>
      <c r="B57" s="251" t="s">
        <v>109</v>
      </c>
      <c r="C57" s="616">
        <v>0.34849999999999998</v>
      </c>
      <c r="D57" s="616">
        <v>0.46500000000000002</v>
      </c>
      <c r="E57" s="616">
        <v>0.73660000000000003</v>
      </c>
      <c r="F57" s="616">
        <v>5.5</v>
      </c>
    </row>
    <row r="58" spans="1:7" ht="14">
      <c r="A58" s="239"/>
      <c r="B58" s="251" t="s">
        <v>110</v>
      </c>
      <c r="C58" s="616">
        <v>0.34849999999999998</v>
      </c>
      <c r="D58" s="616">
        <v>0.46500000000000002</v>
      </c>
      <c r="E58" s="616">
        <v>0.73660000000000003</v>
      </c>
      <c r="F58" s="616">
        <v>5.5</v>
      </c>
    </row>
    <row r="59" spans="1:7" ht="14">
      <c r="A59" s="239"/>
      <c r="B59" s="251" t="s">
        <v>117</v>
      </c>
      <c r="C59" s="616">
        <v>0.34714200000000001</v>
      </c>
      <c r="D59" s="616">
        <v>0.46829999999999999</v>
      </c>
      <c r="E59" s="616">
        <v>0.73829999999999996</v>
      </c>
      <c r="F59" s="616">
        <v>5.5</v>
      </c>
    </row>
    <row r="60" spans="1:7" ht="14">
      <c r="A60" s="239"/>
      <c r="B60" s="251" t="s">
        <v>112</v>
      </c>
      <c r="C60" s="616">
        <v>0.34279999999999999</v>
      </c>
      <c r="D60" s="616">
        <v>0.47</v>
      </c>
      <c r="E60" s="616">
        <v>0.73833000000000004</v>
      </c>
      <c r="F60" s="616">
        <v>5.5</v>
      </c>
    </row>
    <row r="61" spans="1:7" ht="14">
      <c r="A61" s="239"/>
      <c r="B61" s="251" t="s">
        <v>113</v>
      </c>
      <c r="C61" s="616">
        <v>0.32400000000000001</v>
      </c>
      <c r="D61" s="616">
        <v>0.4733</v>
      </c>
      <c r="E61" s="616">
        <v>0.73499999999999999</v>
      </c>
      <c r="F61" s="616">
        <v>5.5</v>
      </c>
    </row>
    <row r="62" spans="1:7" ht="14">
      <c r="A62" s="239"/>
      <c r="B62" s="251" t="s">
        <v>114</v>
      </c>
      <c r="C62" s="616">
        <v>0.36570000000000003</v>
      </c>
      <c r="D62" s="616">
        <v>0.4733</v>
      </c>
      <c r="E62" s="616">
        <v>0.72665999999999997</v>
      </c>
      <c r="F62" s="616">
        <v>5.5</v>
      </c>
    </row>
    <row r="63" spans="1:7" ht="14">
      <c r="A63" s="239"/>
      <c r="B63" s="251" t="s">
        <v>115</v>
      </c>
      <c r="C63" s="616">
        <v>0.36570000000000003</v>
      </c>
      <c r="D63" s="616">
        <v>0.4733</v>
      </c>
      <c r="E63" s="616">
        <v>0.72665999999999997</v>
      </c>
      <c r="F63" s="616">
        <v>5.5</v>
      </c>
    </row>
    <row r="64" spans="1:7" ht="14">
      <c r="A64" s="239"/>
      <c r="B64" s="251" t="s">
        <v>116</v>
      </c>
      <c r="C64" s="616">
        <v>0.28999999999999998</v>
      </c>
      <c r="D64" s="616">
        <v>0.45284999999999997</v>
      </c>
      <c r="E64" s="616">
        <v>0.75333000000000006</v>
      </c>
      <c r="F64" s="616">
        <v>5.5</v>
      </c>
    </row>
    <row r="65" spans="1:7" ht="14">
      <c r="A65" s="238">
        <v>2016</v>
      </c>
      <c r="B65" s="272" t="s">
        <v>105</v>
      </c>
      <c r="C65" s="614">
        <v>0.28999999999999998</v>
      </c>
      <c r="D65" s="615">
        <v>0.45284999999999997</v>
      </c>
      <c r="E65" s="614">
        <v>0.75532999999999995</v>
      </c>
      <c r="F65" s="607">
        <v>5.5</v>
      </c>
      <c r="G65" s="75"/>
    </row>
    <row r="66" spans="1:7" ht="14">
      <c r="A66" s="239"/>
      <c r="B66" s="273" t="s">
        <v>106</v>
      </c>
      <c r="C66" s="616">
        <v>0.29199999999999998</v>
      </c>
      <c r="D66" s="617">
        <v>0.45200000000000001</v>
      </c>
      <c r="E66" s="616">
        <v>0.75600000000000001</v>
      </c>
      <c r="F66" s="610">
        <v>5.5</v>
      </c>
      <c r="G66" s="75"/>
    </row>
    <row r="67" spans="1:7" ht="14">
      <c r="A67" s="239"/>
      <c r="B67" s="273" t="s">
        <v>107</v>
      </c>
      <c r="C67" s="616">
        <v>0.35570000000000002</v>
      </c>
      <c r="D67" s="617">
        <v>0.47</v>
      </c>
      <c r="E67" s="616">
        <v>0.75666599999999995</v>
      </c>
      <c r="F67" s="610">
        <v>5.5</v>
      </c>
      <c r="G67" s="75"/>
    </row>
    <row r="68" spans="1:7" ht="14">
      <c r="A68" s="239"/>
      <c r="B68" s="273" t="s">
        <v>108</v>
      </c>
      <c r="C68" s="616">
        <v>0.35714200000000002</v>
      </c>
      <c r="D68" s="617">
        <v>0.47857</v>
      </c>
      <c r="E68" s="616">
        <v>0.75666</v>
      </c>
      <c r="F68" s="610">
        <v>5.5</v>
      </c>
      <c r="G68" s="75"/>
    </row>
    <row r="69" spans="1:7" ht="14">
      <c r="A69" s="239"/>
      <c r="B69" s="273" t="s">
        <v>109</v>
      </c>
      <c r="C69" s="616">
        <v>0.3781428</v>
      </c>
      <c r="D69" s="617">
        <v>0.47799999999999998</v>
      </c>
      <c r="E69" s="616">
        <v>0.754</v>
      </c>
      <c r="F69" s="610">
        <v>5.5</v>
      </c>
      <c r="G69" s="75"/>
    </row>
    <row r="70" spans="1:7" ht="14">
      <c r="A70" s="239"/>
      <c r="B70" s="273" t="s">
        <v>110</v>
      </c>
      <c r="C70" s="616">
        <v>0.41699999999999998</v>
      </c>
      <c r="D70" s="617">
        <v>0.47599999999999998</v>
      </c>
      <c r="E70" s="616">
        <v>0.755</v>
      </c>
      <c r="F70" s="610">
        <v>5.5</v>
      </c>
      <c r="G70" s="75"/>
    </row>
    <row r="71" spans="1:7" ht="14">
      <c r="A71" s="239"/>
      <c r="B71" s="273" t="s">
        <v>117</v>
      </c>
      <c r="C71" s="616">
        <v>0.35499999999999998</v>
      </c>
      <c r="D71" s="617">
        <v>0.47599999999999998</v>
      </c>
      <c r="E71" s="616">
        <v>0.75600000000000001</v>
      </c>
      <c r="F71" s="610">
        <v>5.5</v>
      </c>
      <c r="G71" s="75"/>
    </row>
    <row r="72" spans="1:7" ht="14">
      <c r="A72" s="239"/>
      <c r="B72" s="273" t="s">
        <v>112</v>
      </c>
      <c r="C72" s="616">
        <v>0.33500000000000002</v>
      </c>
      <c r="D72" s="617">
        <v>0.49</v>
      </c>
      <c r="E72" s="616">
        <v>0.755</v>
      </c>
      <c r="F72" s="610">
        <v>5.5</v>
      </c>
      <c r="G72" s="75"/>
    </row>
    <row r="73" spans="1:7" ht="14">
      <c r="A73" s="239"/>
      <c r="B73" s="273" t="s">
        <v>113</v>
      </c>
      <c r="C73" s="616">
        <v>0.33700000000000002</v>
      </c>
      <c r="D73" s="617">
        <v>0.48799999999999999</v>
      </c>
      <c r="E73" s="616">
        <v>0.753</v>
      </c>
      <c r="F73" s="610">
        <v>5.5</v>
      </c>
      <c r="G73" s="75"/>
    </row>
    <row r="74" spans="1:7" ht="14">
      <c r="A74" s="239"/>
      <c r="B74" s="273" t="s">
        <v>114</v>
      </c>
      <c r="C74" s="616">
        <v>0.33300000000000002</v>
      </c>
      <c r="D74" s="617">
        <v>0.48699999999999999</v>
      </c>
      <c r="E74" s="616">
        <v>0.753</v>
      </c>
      <c r="F74" s="610">
        <v>5.5</v>
      </c>
      <c r="G74" s="75"/>
    </row>
    <row r="75" spans="1:7" ht="14">
      <c r="A75" s="239"/>
      <c r="B75" s="273" t="s">
        <v>115</v>
      </c>
      <c r="C75" s="616">
        <v>0.33700000000000002</v>
      </c>
      <c r="D75" s="617">
        <v>0.48499999999999999</v>
      </c>
      <c r="E75" s="616">
        <v>0.72098333333333331</v>
      </c>
      <c r="F75" s="610">
        <v>5.5</v>
      </c>
      <c r="G75" s="75"/>
    </row>
    <row r="76" spans="1:7" ht="14">
      <c r="A76" s="240"/>
      <c r="B76" s="274" t="s">
        <v>116</v>
      </c>
      <c r="C76" s="618">
        <v>0.307</v>
      </c>
      <c r="D76" s="619">
        <v>0.48499999999999999</v>
      </c>
      <c r="E76" s="618">
        <v>0.72399999999999998</v>
      </c>
      <c r="F76" s="618">
        <v>5.5</v>
      </c>
      <c r="G76" s="75"/>
    </row>
    <row r="77" spans="1:7" ht="14">
      <c r="A77" s="238">
        <v>2017</v>
      </c>
      <c r="B77" s="272" t="s">
        <v>105</v>
      </c>
      <c r="C77" s="620">
        <v>0.30399999999999999</v>
      </c>
      <c r="D77" s="621">
        <v>0.48</v>
      </c>
      <c r="E77" s="620">
        <v>0.72799999999999998</v>
      </c>
      <c r="F77" s="621">
        <v>5.5</v>
      </c>
      <c r="G77" s="75"/>
    </row>
    <row r="78" spans="1:7" ht="14">
      <c r="A78" s="239"/>
      <c r="B78" s="273" t="s">
        <v>106</v>
      </c>
      <c r="C78" s="622">
        <v>0.30399999999999999</v>
      </c>
      <c r="D78" s="622">
        <v>0.44600000000000001</v>
      </c>
      <c r="E78" s="623">
        <v>0.72599999999999998</v>
      </c>
      <c r="F78" s="610">
        <v>5.5</v>
      </c>
      <c r="G78" s="75"/>
    </row>
    <row r="79" spans="1:7" ht="14">
      <c r="A79" s="239"/>
      <c r="B79" s="273" t="s">
        <v>107</v>
      </c>
      <c r="C79" s="622">
        <v>0.29899999999999999</v>
      </c>
      <c r="D79" s="622">
        <v>0.44600000000000001</v>
      </c>
      <c r="E79" s="623">
        <v>0.72899999999999998</v>
      </c>
      <c r="F79" s="610">
        <v>5.5</v>
      </c>
      <c r="G79" s="75"/>
    </row>
    <row r="80" spans="1:7" ht="14">
      <c r="A80" s="239"/>
      <c r="B80" s="273" t="s">
        <v>108</v>
      </c>
      <c r="C80" s="622">
        <v>0.29899999999999999</v>
      </c>
      <c r="D80" s="622">
        <v>0.44700000000000001</v>
      </c>
      <c r="E80" s="623">
        <v>0.72799999999999998</v>
      </c>
      <c r="F80" s="610">
        <v>5.5</v>
      </c>
      <c r="G80" s="75"/>
    </row>
    <row r="81" spans="1:7" ht="14">
      <c r="A81" s="239"/>
      <c r="B81" s="273" t="s">
        <v>109</v>
      </c>
      <c r="C81" s="622">
        <v>0.29899999999999999</v>
      </c>
      <c r="D81" s="622">
        <v>0.44500000000000001</v>
      </c>
      <c r="E81" s="623">
        <v>0.72799999999999998</v>
      </c>
      <c r="F81" s="610">
        <v>5.5</v>
      </c>
      <c r="G81" s="75"/>
    </row>
    <row r="82" spans="1:7" ht="14">
      <c r="A82" s="239"/>
      <c r="B82" s="273" t="s">
        <v>110</v>
      </c>
      <c r="C82" s="622">
        <v>0.35599999999999998</v>
      </c>
      <c r="D82" s="622">
        <v>0.44600000000000001</v>
      </c>
      <c r="E82" s="623">
        <v>0.72799999999999998</v>
      </c>
      <c r="F82" s="616">
        <v>5.5</v>
      </c>
      <c r="G82" s="75"/>
    </row>
    <row r="83" spans="1:7" ht="14">
      <c r="A83" s="239"/>
      <c r="B83" s="273" t="s">
        <v>117</v>
      </c>
      <c r="C83" s="622">
        <v>0.35599999999999998</v>
      </c>
      <c r="D83" s="622">
        <v>0.44600000000000001</v>
      </c>
      <c r="E83" s="623">
        <v>0.72699999999999998</v>
      </c>
      <c r="F83" s="610">
        <v>5.5</v>
      </c>
      <c r="G83" s="75"/>
    </row>
    <row r="84" spans="1:7" ht="14">
      <c r="A84" s="239"/>
      <c r="B84" s="273" t="s">
        <v>112</v>
      </c>
      <c r="C84" s="622">
        <v>0.36299999999999999</v>
      </c>
      <c r="D84" s="622">
        <v>0.44600000000000001</v>
      </c>
      <c r="E84" s="623">
        <v>0.72699999999999998</v>
      </c>
      <c r="F84" s="616">
        <v>5.5</v>
      </c>
      <c r="G84" s="75"/>
    </row>
    <row r="85" spans="1:7" ht="14">
      <c r="A85" s="239"/>
      <c r="B85" s="273" t="s">
        <v>113</v>
      </c>
      <c r="C85" s="622">
        <v>0.30499999999999999</v>
      </c>
      <c r="D85" s="622">
        <v>0.44800000000000001</v>
      </c>
      <c r="E85" s="623">
        <v>0.72799999999999998</v>
      </c>
      <c r="F85" s="616">
        <v>5.5</v>
      </c>
      <c r="G85" s="75"/>
    </row>
    <row r="86" spans="1:7" ht="14">
      <c r="A86" s="239"/>
      <c r="B86" s="273" t="s">
        <v>114</v>
      </c>
      <c r="C86" s="622">
        <v>0.30499999999999999</v>
      </c>
      <c r="D86" s="622">
        <v>0.45</v>
      </c>
      <c r="E86" s="622">
        <v>0.73</v>
      </c>
      <c r="F86" s="610">
        <v>5.5</v>
      </c>
      <c r="G86" s="75"/>
    </row>
    <row r="87" spans="1:7" ht="14">
      <c r="A87" s="239"/>
      <c r="B87" s="273" t="s">
        <v>115</v>
      </c>
      <c r="C87" s="622">
        <v>0.30499999999999999</v>
      </c>
      <c r="D87" s="622">
        <v>0.45374999999999999</v>
      </c>
      <c r="E87" s="622">
        <v>0.73856999999999995</v>
      </c>
      <c r="F87" s="616">
        <v>5.5</v>
      </c>
      <c r="G87" s="75"/>
    </row>
    <row r="88" spans="1:7" ht="14">
      <c r="A88" s="240"/>
      <c r="B88" s="252" t="s">
        <v>116</v>
      </c>
      <c r="C88" s="624">
        <v>0.29099999999999998</v>
      </c>
      <c r="D88" s="624">
        <v>0.436</v>
      </c>
      <c r="E88" s="625">
        <v>0.70299999999999996</v>
      </c>
      <c r="F88" s="618">
        <v>5.5</v>
      </c>
      <c r="G88" s="75"/>
    </row>
    <row r="89" spans="1:7" ht="14">
      <c r="A89" s="238">
        <v>2018</v>
      </c>
      <c r="B89" s="272" t="s">
        <v>105</v>
      </c>
      <c r="C89" s="621">
        <v>0.29099999999999998</v>
      </c>
      <c r="D89" s="621">
        <v>0.436</v>
      </c>
      <c r="E89" s="620">
        <v>0.70099999999999996</v>
      </c>
      <c r="F89" s="621">
        <v>5.5</v>
      </c>
      <c r="G89" s="75"/>
    </row>
    <row r="90" spans="1:7" ht="14">
      <c r="A90" s="239"/>
      <c r="B90" s="273" t="s">
        <v>106</v>
      </c>
      <c r="C90" s="622">
        <v>0.29099999999999998</v>
      </c>
      <c r="D90" s="622">
        <v>0.436</v>
      </c>
      <c r="E90" s="623">
        <v>0.70199999999999996</v>
      </c>
      <c r="F90" s="610">
        <v>5.5</v>
      </c>
      <c r="G90" s="75"/>
    </row>
    <row r="91" spans="1:7" ht="14">
      <c r="A91" s="239"/>
      <c r="B91" s="273" t="s">
        <v>107</v>
      </c>
      <c r="C91" s="622">
        <v>0.28899999999999998</v>
      </c>
      <c r="D91" s="622">
        <v>0.436</v>
      </c>
      <c r="E91" s="623">
        <v>0.70199999999999996</v>
      </c>
      <c r="F91" s="610">
        <v>5.5</v>
      </c>
      <c r="G91" s="75"/>
    </row>
    <row r="92" spans="1:7" ht="14">
      <c r="A92" s="239"/>
      <c r="B92" s="273" t="s">
        <v>108</v>
      </c>
      <c r="C92" s="622">
        <v>0.30599999999999999</v>
      </c>
      <c r="D92" s="622">
        <v>0.434</v>
      </c>
      <c r="E92" s="623">
        <v>0.70399999999999996</v>
      </c>
      <c r="F92" s="610">
        <v>5.5</v>
      </c>
      <c r="G92" s="75"/>
    </row>
    <row r="93" spans="1:7" ht="14">
      <c r="A93" s="239"/>
      <c r="B93" s="273" t="s">
        <v>109</v>
      </c>
      <c r="C93" s="622">
        <v>0.30599999999999999</v>
      </c>
      <c r="D93" s="622">
        <v>0.42899999999999999</v>
      </c>
      <c r="E93" s="623">
        <v>0.70399999999999996</v>
      </c>
      <c r="F93" s="610">
        <v>5.5</v>
      </c>
      <c r="G93" s="75"/>
    </row>
    <row r="94" spans="1:7" ht="14">
      <c r="A94" s="239"/>
      <c r="B94" s="273" t="s">
        <v>110</v>
      </c>
      <c r="C94" s="626">
        <v>0.29199999999999998</v>
      </c>
      <c r="D94" s="622">
        <v>0.42799999999999999</v>
      </c>
      <c r="E94" s="622">
        <v>0.71</v>
      </c>
      <c r="F94" s="610">
        <v>5.5</v>
      </c>
      <c r="G94" s="75"/>
    </row>
    <row r="95" spans="1:7" ht="14">
      <c r="A95" s="239"/>
      <c r="B95" s="273" t="s">
        <v>117</v>
      </c>
      <c r="C95" s="622">
        <v>0.29199999999999998</v>
      </c>
      <c r="D95" s="622">
        <v>0.42799999999999999</v>
      </c>
      <c r="E95" s="622">
        <v>0.71299999999999997</v>
      </c>
      <c r="F95" s="610">
        <v>5.5</v>
      </c>
      <c r="G95" s="75"/>
    </row>
    <row r="96" spans="1:7" ht="14">
      <c r="A96" s="239"/>
      <c r="B96" s="273" t="s">
        <v>112</v>
      </c>
      <c r="C96" s="622">
        <v>0.29399999999999998</v>
      </c>
      <c r="D96" s="622">
        <v>0.42799999999999999</v>
      </c>
      <c r="E96" s="622">
        <v>0.71799999999999997</v>
      </c>
      <c r="F96" s="610">
        <v>5.5</v>
      </c>
      <c r="G96" s="75"/>
    </row>
    <row r="97" spans="1:7" ht="14">
      <c r="A97" s="239"/>
      <c r="B97" s="273" t="s">
        <v>113</v>
      </c>
      <c r="C97" s="622">
        <v>0.3</v>
      </c>
      <c r="D97" s="622">
        <v>0.43</v>
      </c>
      <c r="E97" s="622">
        <v>0.749</v>
      </c>
      <c r="F97" s="610">
        <v>5.5</v>
      </c>
      <c r="G97" s="75"/>
    </row>
    <row r="98" spans="1:7" ht="14">
      <c r="A98" s="239"/>
      <c r="B98" s="273" t="s">
        <v>114</v>
      </c>
      <c r="C98" s="622">
        <v>0.36399999999999999</v>
      </c>
      <c r="D98" s="622">
        <v>0.438</v>
      </c>
      <c r="E98" s="622">
        <v>0.75900000000000001</v>
      </c>
      <c r="F98" s="610">
        <v>5.5</v>
      </c>
      <c r="G98" s="75"/>
    </row>
    <row r="99" spans="1:7" ht="14">
      <c r="A99" s="239"/>
      <c r="B99" s="273" t="s">
        <v>115</v>
      </c>
      <c r="C99" s="622">
        <v>0.374</v>
      </c>
      <c r="D99" s="622">
        <v>0.439</v>
      </c>
      <c r="E99" s="622">
        <v>0.76100000000000001</v>
      </c>
      <c r="F99" s="610">
        <v>5.5</v>
      </c>
      <c r="G99" s="75"/>
    </row>
    <row r="100" spans="1:7" ht="14">
      <c r="A100" s="240"/>
      <c r="B100" s="274" t="s">
        <v>116</v>
      </c>
      <c r="C100" s="624">
        <v>0.34699999999999998</v>
      </c>
      <c r="D100" s="624">
        <v>0.439</v>
      </c>
      <c r="E100" s="624">
        <v>0.77300000000000002</v>
      </c>
      <c r="F100" s="618">
        <v>5.5</v>
      </c>
      <c r="G100" s="75"/>
    </row>
    <row r="101" spans="1:7" ht="14">
      <c r="A101" s="238">
        <v>2019</v>
      </c>
      <c r="B101" s="247" t="s">
        <v>105</v>
      </c>
      <c r="C101" s="621">
        <v>0.32</v>
      </c>
      <c r="D101" s="621">
        <v>0.439</v>
      </c>
      <c r="E101" s="621">
        <v>0.77600000000000002</v>
      </c>
      <c r="F101" s="614">
        <v>5.5</v>
      </c>
      <c r="G101" s="75"/>
    </row>
    <row r="102" spans="1:7" ht="14">
      <c r="A102" s="239"/>
      <c r="B102" s="251" t="s">
        <v>106</v>
      </c>
      <c r="C102" s="622">
        <v>0.32800000000000001</v>
      </c>
      <c r="D102" s="622">
        <v>0.44400000000000001</v>
      </c>
      <c r="E102" s="622">
        <v>0.79700000000000004</v>
      </c>
      <c r="F102" s="616">
        <v>5.5</v>
      </c>
      <c r="G102" s="75"/>
    </row>
    <row r="103" spans="1:7" ht="14">
      <c r="A103" s="239"/>
      <c r="B103" s="251" t="s">
        <v>107</v>
      </c>
      <c r="C103" s="622">
        <v>0.32900000000000001</v>
      </c>
      <c r="D103" s="622">
        <v>0.44700000000000001</v>
      </c>
      <c r="E103" s="622">
        <v>0.79700000000000004</v>
      </c>
      <c r="F103" s="616">
        <v>5.5</v>
      </c>
      <c r="G103" s="75"/>
    </row>
    <row r="104" spans="1:7" ht="14">
      <c r="A104" s="239"/>
      <c r="B104" s="251" t="s">
        <v>108</v>
      </c>
      <c r="C104" s="622">
        <v>0.34399999999999997</v>
      </c>
      <c r="D104" s="622">
        <v>0.46</v>
      </c>
      <c r="E104" s="622">
        <v>0.80700000000000005</v>
      </c>
      <c r="F104" s="616">
        <v>5.5</v>
      </c>
      <c r="G104" s="75"/>
    </row>
    <row r="105" spans="1:7" ht="14">
      <c r="A105" s="239"/>
      <c r="B105" s="251" t="s">
        <v>109</v>
      </c>
      <c r="C105" s="622">
        <v>0.38600000000000001</v>
      </c>
      <c r="D105" s="622">
        <v>0.46899999999999997</v>
      </c>
      <c r="E105" s="622">
        <v>0.80900000000000005</v>
      </c>
      <c r="F105" s="616">
        <v>5.5</v>
      </c>
      <c r="G105" s="75"/>
    </row>
    <row r="106" spans="1:7" ht="14">
      <c r="A106" s="239"/>
      <c r="B106" s="251" t="s">
        <v>110</v>
      </c>
      <c r="C106" s="622">
        <v>0.38600000000000001</v>
      </c>
      <c r="D106" s="622">
        <v>0.49199999999999999</v>
      </c>
      <c r="E106" s="622">
        <v>0.81200000000000006</v>
      </c>
      <c r="F106" s="616">
        <v>5.5</v>
      </c>
      <c r="G106" s="75"/>
    </row>
    <row r="107" spans="1:7" ht="14">
      <c r="A107" s="239"/>
      <c r="B107" s="251" t="s">
        <v>117</v>
      </c>
      <c r="C107" s="622">
        <v>0.38600000000000001</v>
      </c>
      <c r="D107" s="622">
        <v>0.49399999999999999</v>
      </c>
      <c r="E107" s="622">
        <v>0.81299999999999994</v>
      </c>
      <c r="F107" s="616">
        <v>5.5</v>
      </c>
      <c r="G107" s="75"/>
    </row>
    <row r="108" spans="1:7" ht="14">
      <c r="A108" s="239"/>
      <c r="B108" s="251" t="s">
        <v>112</v>
      </c>
      <c r="C108" s="622">
        <v>0.41199999999999998</v>
      </c>
      <c r="D108" s="622">
        <v>0.49199999999999999</v>
      </c>
      <c r="E108" s="622">
        <v>0.81299999999999994</v>
      </c>
      <c r="F108" s="616">
        <v>5.5</v>
      </c>
      <c r="G108" s="75"/>
    </row>
    <row r="109" spans="1:7" ht="14">
      <c r="A109" s="239"/>
      <c r="B109" s="251" t="s">
        <v>113</v>
      </c>
      <c r="C109" s="622">
        <v>0.41399999999999998</v>
      </c>
      <c r="D109" s="622">
        <v>0.49099999999999999</v>
      </c>
      <c r="E109" s="622">
        <v>0.80500000000000005</v>
      </c>
      <c r="F109" s="616">
        <v>5.5</v>
      </c>
      <c r="G109" s="75"/>
    </row>
    <row r="110" spans="1:7" ht="14">
      <c r="A110" s="239"/>
      <c r="B110" s="251" t="s">
        <v>114</v>
      </c>
      <c r="C110" s="622">
        <v>0.41299999999999998</v>
      </c>
      <c r="D110" s="622">
        <v>0.47499999999999998</v>
      </c>
      <c r="E110" s="622">
        <v>0.80500000000000005</v>
      </c>
      <c r="F110" s="616">
        <v>5.5</v>
      </c>
      <c r="G110" s="75"/>
    </row>
    <row r="111" spans="1:7" ht="14">
      <c r="A111" s="239"/>
      <c r="B111" s="251" t="s">
        <v>115</v>
      </c>
      <c r="C111" s="622">
        <v>0.35199999999999998</v>
      </c>
      <c r="D111" s="622">
        <v>0.46899999999999997</v>
      </c>
      <c r="E111" s="622">
        <v>0.80300000000000005</v>
      </c>
      <c r="F111" s="616">
        <v>5.5</v>
      </c>
      <c r="G111" s="75"/>
    </row>
    <row r="112" spans="1:7" ht="14">
      <c r="A112" s="240"/>
      <c r="B112" s="252" t="s">
        <v>116</v>
      </c>
      <c r="C112" s="624">
        <v>0.34300000000000003</v>
      </c>
      <c r="D112" s="624">
        <v>0.46500000000000002</v>
      </c>
      <c r="E112" s="624">
        <v>0.79800000000000004</v>
      </c>
      <c r="F112" s="618">
        <v>5.5</v>
      </c>
      <c r="G112" s="75"/>
    </row>
    <row r="113" spans="1:7" ht="14">
      <c r="A113" s="238">
        <v>2020</v>
      </c>
      <c r="B113" s="272" t="s">
        <v>105</v>
      </c>
      <c r="C113" s="627">
        <v>0.34300000000000003</v>
      </c>
      <c r="D113" s="621">
        <v>0.436</v>
      </c>
      <c r="E113" s="628">
        <v>0.79500000000000004</v>
      </c>
      <c r="F113" s="614">
        <v>5.5</v>
      </c>
      <c r="G113" s="75"/>
    </row>
    <row r="114" spans="1:7" ht="14">
      <c r="A114" s="239"/>
      <c r="B114" s="273" t="s">
        <v>106</v>
      </c>
      <c r="C114" s="626">
        <v>0.34300000000000003</v>
      </c>
      <c r="D114" s="622">
        <v>0.436</v>
      </c>
      <c r="E114" s="629">
        <v>0.78100000000000003</v>
      </c>
      <c r="F114" s="616">
        <v>5.5</v>
      </c>
      <c r="G114" s="75"/>
    </row>
    <row r="115" spans="1:7" ht="14">
      <c r="A115" s="239"/>
      <c r="B115" s="273" t="s">
        <v>107</v>
      </c>
      <c r="C115" s="630">
        <v>0.33900000000000002</v>
      </c>
      <c r="D115" s="631">
        <v>0.435</v>
      </c>
      <c r="E115" s="632">
        <v>0.77100000000000002</v>
      </c>
      <c r="F115" s="616">
        <v>5.5</v>
      </c>
      <c r="G115" s="75"/>
    </row>
    <row r="116" spans="1:7" ht="14">
      <c r="A116" s="239"/>
      <c r="B116" s="273" t="s">
        <v>108</v>
      </c>
      <c r="C116" s="626">
        <v>0.311</v>
      </c>
      <c r="D116" s="622">
        <v>0.39600000000000002</v>
      </c>
      <c r="E116" s="629">
        <v>0.62</v>
      </c>
      <c r="F116" s="616">
        <v>5.5</v>
      </c>
      <c r="G116" s="75"/>
    </row>
    <row r="117" spans="1:7" ht="14">
      <c r="A117" s="239"/>
      <c r="B117" s="273" t="s">
        <v>109</v>
      </c>
      <c r="C117" s="626">
        <v>0.251</v>
      </c>
      <c r="D117" s="622">
        <v>0.372</v>
      </c>
      <c r="E117" s="629">
        <v>0.51</v>
      </c>
      <c r="F117" s="616">
        <v>5.5</v>
      </c>
      <c r="G117" s="75"/>
    </row>
    <row r="118" spans="1:7" ht="14">
      <c r="A118" s="239"/>
      <c r="B118" s="273" t="s">
        <v>110</v>
      </c>
      <c r="C118" s="626">
        <v>0.24199999999999999</v>
      </c>
      <c r="D118" s="622">
        <v>0.36899999999999999</v>
      </c>
      <c r="E118" s="626">
        <v>0.47199999999999998</v>
      </c>
      <c r="F118" s="616">
        <v>5.5</v>
      </c>
      <c r="G118" s="75"/>
    </row>
    <row r="119" spans="1:7" ht="14">
      <c r="A119" s="239"/>
      <c r="B119" s="273" t="s">
        <v>117</v>
      </c>
      <c r="C119" s="626">
        <v>0.17599999999999999</v>
      </c>
      <c r="D119" s="622">
        <v>0.28299999999999997</v>
      </c>
      <c r="E119" s="629">
        <v>0.40400000000000003</v>
      </c>
      <c r="F119" s="616">
        <v>5.5</v>
      </c>
      <c r="G119" s="75"/>
    </row>
    <row r="120" spans="1:7" ht="14">
      <c r="A120" s="239"/>
      <c r="B120" s="273" t="s">
        <v>112</v>
      </c>
      <c r="C120" s="626">
        <v>0.161</v>
      </c>
      <c r="D120" s="622">
        <v>0.27200000000000002</v>
      </c>
      <c r="E120" s="629">
        <v>0.41299999999999998</v>
      </c>
      <c r="F120" s="616">
        <v>5.5</v>
      </c>
      <c r="G120" s="75"/>
    </row>
    <row r="121" spans="1:7" ht="14">
      <c r="A121" s="239"/>
      <c r="B121" s="273" t="s">
        <v>113</v>
      </c>
      <c r="C121" s="622">
        <v>0.14799999999999999</v>
      </c>
      <c r="D121" s="622">
        <v>0.25</v>
      </c>
      <c r="E121" s="622">
        <v>0.313</v>
      </c>
      <c r="F121" s="616">
        <v>5.5</v>
      </c>
      <c r="G121" s="75"/>
    </row>
    <row r="122" spans="1:7" ht="14">
      <c r="A122" s="239"/>
      <c r="B122" s="273" t="s">
        <v>114</v>
      </c>
      <c r="C122" s="622">
        <v>0.14799999999999999</v>
      </c>
      <c r="D122" s="622">
        <v>0.23599999999999999</v>
      </c>
      <c r="E122" s="622">
        <v>0.309</v>
      </c>
      <c r="F122" s="616">
        <v>5.5</v>
      </c>
      <c r="G122" s="75"/>
    </row>
    <row r="123" spans="1:7" ht="14">
      <c r="A123" s="239"/>
      <c r="B123" s="273" t="s">
        <v>115</v>
      </c>
      <c r="C123" s="629">
        <v>0.14899999999999999</v>
      </c>
      <c r="D123" s="622">
        <v>0.23100000000000001</v>
      </c>
      <c r="E123" s="622">
        <v>0.30199999999999999</v>
      </c>
      <c r="F123" s="616">
        <v>5.5</v>
      </c>
      <c r="G123" s="75"/>
    </row>
    <row r="124" spans="1:7" ht="14">
      <c r="A124" s="240"/>
      <c r="B124" s="274" t="s">
        <v>116</v>
      </c>
      <c r="C124" s="633">
        <v>0.14899999999999999</v>
      </c>
      <c r="D124" s="624">
        <v>0.23100000000000001</v>
      </c>
      <c r="E124" s="624">
        <v>0.29399999999999998</v>
      </c>
      <c r="F124" s="618">
        <v>5.5</v>
      </c>
      <c r="G124" s="75"/>
    </row>
    <row r="125" spans="1:7" ht="14">
      <c r="A125" s="238">
        <v>2021</v>
      </c>
      <c r="B125" s="272" t="s">
        <v>105</v>
      </c>
      <c r="C125" s="621">
        <v>0.13600000000000001</v>
      </c>
      <c r="D125" s="621">
        <v>0.23100000000000001</v>
      </c>
      <c r="E125" s="634">
        <v>0.28499999999999998</v>
      </c>
      <c r="F125" s="614">
        <v>5.5</v>
      </c>
      <c r="G125" s="75"/>
    </row>
    <row r="126" spans="1:7" ht="14">
      <c r="A126" s="239"/>
      <c r="B126" s="273" t="s">
        <v>106</v>
      </c>
      <c r="C126" s="626">
        <v>0.14699999999999999</v>
      </c>
      <c r="D126" s="622">
        <v>0.23100000000000001</v>
      </c>
      <c r="E126" s="631">
        <v>0.27300000000000002</v>
      </c>
      <c r="F126" s="616">
        <v>5.5</v>
      </c>
      <c r="G126" s="75"/>
    </row>
    <row r="127" spans="1:7" ht="14">
      <c r="A127" s="239"/>
      <c r="B127" s="273" t="s">
        <v>107</v>
      </c>
      <c r="C127" s="626">
        <v>0.14699999999999999</v>
      </c>
      <c r="D127" s="622">
        <v>0.22500000000000001</v>
      </c>
      <c r="E127" s="622">
        <v>0.25</v>
      </c>
      <c r="F127" s="616">
        <v>5.5</v>
      </c>
      <c r="G127" s="75"/>
    </row>
    <row r="128" spans="1:7" ht="14">
      <c r="A128" s="239"/>
      <c r="B128" s="273" t="s">
        <v>108</v>
      </c>
      <c r="C128" s="626">
        <v>0.14699999999999999</v>
      </c>
      <c r="D128" s="622">
        <v>0.22500000000000001</v>
      </c>
      <c r="E128" s="622">
        <v>0.246</v>
      </c>
      <c r="F128" s="616">
        <v>5.5</v>
      </c>
      <c r="G128" s="75"/>
    </row>
    <row r="129" spans="1:7" ht="14">
      <c r="A129" s="239"/>
      <c r="B129" s="273" t="s">
        <v>109</v>
      </c>
      <c r="C129" s="626">
        <v>0.14799999999999999</v>
      </c>
      <c r="D129" s="622">
        <v>0.22500000000000001</v>
      </c>
      <c r="E129" s="622">
        <v>0.24199999999999999</v>
      </c>
      <c r="F129" s="616">
        <v>5.5</v>
      </c>
      <c r="G129" s="75"/>
    </row>
    <row r="130" spans="1:7" ht="14">
      <c r="A130" s="239"/>
      <c r="B130" s="273" t="s">
        <v>110</v>
      </c>
      <c r="C130" s="626">
        <v>0.14799999999999999</v>
      </c>
      <c r="D130" s="622">
        <v>0.224</v>
      </c>
      <c r="E130" s="622">
        <v>0.24199999999999999</v>
      </c>
      <c r="F130" s="616">
        <v>5.5</v>
      </c>
      <c r="G130" s="75"/>
    </row>
    <row r="131" spans="1:7" ht="14">
      <c r="A131" s="239"/>
      <c r="B131" s="273" t="s">
        <v>117</v>
      </c>
      <c r="C131" s="626">
        <v>0.13500000000000001</v>
      </c>
      <c r="D131" s="622">
        <v>0.19900000000000001</v>
      </c>
      <c r="E131" s="631">
        <v>0.222</v>
      </c>
      <c r="F131" s="616">
        <v>5.5</v>
      </c>
      <c r="G131" s="75"/>
    </row>
    <row r="132" spans="1:7" ht="14">
      <c r="A132" s="239"/>
      <c r="B132" s="273" t="s">
        <v>112</v>
      </c>
      <c r="C132" s="629">
        <v>0.13500000000000001</v>
      </c>
      <c r="D132" s="629">
        <v>0.19900000000000001</v>
      </c>
      <c r="E132" s="631">
        <v>0.222</v>
      </c>
      <c r="F132" s="616">
        <v>5.5</v>
      </c>
      <c r="G132" s="75"/>
    </row>
    <row r="133" spans="1:7" ht="14">
      <c r="A133" s="239"/>
      <c r="B133" s="273" t="s">
        <v>113</v>
      </c>
      <c r="C133" s="626">
        <v>0.129</v>
      </c>
      <c r="D133" s="622">
        <v>0.187</v>
      </c>
      <c r="E133" s="622">
        <v>0.2</v>
      </c>
      <c r="F133" s="616">
        <v>5.5</v>
      </c>
      <c r="G133" s="75"/>
    </row>
    <row r="134" spans="1:7" ht="14">
      <c r="A134" s="239"/>
      <c r="B134" s="273" t="s">
        <v>114</v>
      </c>
      <c r="C134" s="626">
        <v>0.129</v>
      </c>
      <c r="D134" s="622">
        <v>0.187</v>
      </c>
      <c r="E134" s="622">
        <v>0.2</v>
      </c>
      <c r="F134" s="616">
        <v>5.5</v>
      </c>
      <c r="G134" s="75"/>
    </row>
    <row r="135" spans="1:7" ht="14">
      <c r="A135" s="239"/>
      <c r="B135" s="273" t="s">
        <v>115</v>
      </c>
      <c r="C135" s="626">
        <v>0.13</v>
      </c>
      <c r="D135" s="622">
        <v>0.187</v>
      </c>
      <c r="E135" s="622">
        <v>0.2</v>
      </c>
      <c r="F135" s="616">
        <v>5.5</v>
      </c>
      <c r="G135" s="75"/>
    </row>
    <row r="136" spans="1:7" ht="14">
      <c r="A136" s="240"/>
      <c r="B136" s="274" t="s">
        <v>116</v>
      </c>
      <c r="C136" s="633">
        <v>0.13100000000000001</v>
      </c>
      <c r="D136" s="624">
        <v>0.187</v>
      </c>
      <c r="E136" s="624">
        <v>0.2</v>
      </c>
      <c r="F136" s="618">
        <v>5.5</v>
      </c>
      <c r="G136" s="75"/>
    </row>
    <row r="137" spans="1:7" ht="14">
      <c r="A137" s="238">
        <v>2022</v>
      </c>
      <c r="B137" s="272" t="s">
        <v>105</v>
      </c>
      <c r="C137" s="621">
        <v>0.13100000000000001</v>
      </c>
      <c r="D137" s="621">
        <v>0.187</v>
      </c>
      <c r="E137" s="621">
        <v>0.2</v>
      </c>
      <c r="F137" s="614">
        <v>5.5</v>
      </c>
      <c r="G137" s="75"/>
    </row>
    <row r="138" spans="1:7" ht="14">
      <c r="A138" s="239"/>
      <c r="B138" s="273" t="s">
        <v>106</v>
      </c>
      <c r="C138" s="622">
        <v>0.13100000000000001</v>
      </c>
      <c r="D138" s="622">
        <v>0.187</v>
      </c>
      <c r="E138" s="622">
        <v>0.2</v>
      </c>
      <c r="F138" s="616">
        <v>5.5</v>
      </c>
      <c r="G138" s="75"/>
    </row>
    <row r="139" spans="1:7" ht="14">
      <c r="A139" s="239"/>
      <c r="B139" s="273" t="s">
        <v>107</v>
      </c>
      <c r="C139" s="622">
        <v>0.13300000000000001</v>
      </c>
      <c r="D139" s="622">
        <v>0.187</v>
      </c>
      <c r="E139" s="622">
        <v>0.2</v>
      </c>
      <c r="F139" s="616">
        <v>5.5</v>
      </c>
      <c r="G139" s="75"/>
    </row>
    <row r="140" spans="1:7" ht="14">
      <c r="A140" s="239"/>
      <c r="B140" s="273" t="s">
        <v>108</v>
      </c>
      <c r="C140" s="622">
        <v>0.13300000000000001</v>
      </c>
      <c r="D140" s="622">
        <v>0.187</v>
      </c>
      <c r="E140" s="622">
        <v>0.2</v>
      </c>
      <c r="F140" s="616">
        <v>5.5</v>
      </c>
      <c r="G140" s="75"/>
    </row>
    <row r="141" spans="1:7" ht="14">
      <c r="A141" s="239"/>
      <c r="B141" s="273" t="s">
        <v>109</v>
      </c>
      <c r="C141" s="622">
        <v>0.13900000000000001</v>
      </c>
      <c r="D141" s="622">
        <v>0.187</v>
      </c>
      <c r="E141" s="622">
        <v>0.2</v>
      </c>
      <c r="F141" s="616">
        <v>5.5</v>
      </c>
      <c r="G141" s="75"/>
    </row>
    <row r="142" spans="1:7" ht="14">
      <c r="A142" s="239"/>
      <c r="B142" s="273" t="s">
        <v>110</v>
      </c>
      <c r="C142" s="622">
        <v>0.13900000000000001</v>
      </c>
      <c r="D142" s="622">
        <v>0.187</v>
      </c>
      <c r="E142" s="622">
        <v>0.19400000000000001</v>
      </c>
      <c r="F142" s="616">
        <v>5.5</v>
      </c>
      <c r="G142" s="75"/>
    </row>
    <row r="143" spans="1:7" ht="14">
      <c r="A143" s="239"/>
      <c r="B143" s="273" t="s">
        <v>117</v>
      </c>
      <c r="C143" s="622">
        <v>0.13900000000000001</v>
      </c>
      <c r="D143" s="622">
        <v>0.187</v>
      </c>
      <c r="E143" s="622">
        <v>0.19400000000000001</v>
      </c>
      <c r="F143" s="616">
        <v>5.5</v>
      </c>
      <c r="G143" s="75"/>
    </row>
    <row r="144" spans="1:7" ht="14">
      <c r="A144" s="239"/>
      <c r="B144" s="273" t="s">
        <v>112</v>
      </c>
      <c r="C144" s="622">
        <v>0.13900000000000001</v>
      </c>
      <c r="D144" s="622">
        <v>0.187</v>
      </c>
      <c r="E144" s="622">
        <v>0.19400000000000001</v>
      </c>
      <c r="F144" s="616">
        <v>5.5</v>
      </c>
      <c r="G144" s="75"/>
    </row>
    <row r="145" spans="1:7" ht="14">
      <c r="A145" s="239"/>
      <c r="B145" s="273" t="s">
        <v>113</v>
      </c>
      <c r="C145" s="622">
        <v>0.13900000000000001</v>
      </c>
      <c r="D145" s="622">
        <v>0.187</v>
      </c>
      <c r="E145" s="622">
        <v>0.19400000000000001</v>
      </c>
      <c r="F145" s="616">
        <v>5.5</v>
      </c>
      <c r="G145" s="75"/>
    </row>
    <row r="146" spans="1:7" ht="14">
      <c r="A146" s="239"/>
      <c r="B146" s="273" t="s">
        <v>114</v>
      </c>
      <c r="C146" s="622">
        <v>0.158</v>
      </c>
      <c r="D146" s="622">
        <v>0.219</v>
      </c>
      <c r="E146" s="622">
        <v>0.26200000000000001</v>
      </c>
      <c r="F146" s="616">
        <v>5.5</v>
      </c>
      <c r="G146" s="75"/>
    </row>
    <row r="147" spans="1:7" ht="14">
      <c r="A147" s="239"/>
      <c r="B147" s="273" t="s">
        <v>115</v>
      </c>
      <c r="C147" s="622">
        <v>0.158</v>
      </c>
      <c r="D147" s="622">
        <v>0.25</v>
      </c>
      <c r="E147" s="622">
        <v>0.33100000000000002</v>
      </c>
      <c r="F147" s="616">
        <v>5.5</v>
      </c>
      <c r="G147" s="75"/>
    </row>
    <row r="148" spans="1:7" ht="14">
      <c r="A148" s="240"/>
      <c r="B148" s="274" t="s">
        <v>116</v>
      </c>
      <c r="C148" s="624">
        <v>0.158</v>
      </c>
      <c r="D148" s="624">
        <v>0.26900000000000002</v>
      </c>
      <c r="E148" s="624">
        <v>0.35</v>
      </c>
      <c r="F148" s="618">
        <v>5.5</v>
      </c>
      <c r="G148" s="75"/>
    </row>
    <row r="149" spans="1:7" ht="14">
      <c r="A149" s="238">
        <v>2023</v>
      </c>
      <c r="B149" s="272" t="s">
        <v>105</v>
      </c>
      <c r="C149" s="621">
        <v>0.17599999999999999</v>
      </c>
      <c r="D149" s="621">
        <v>0.3</v>
      </c>
      <c r="E149" s="621">
        <v>0.46</v>
      </c>
      <c r="F149" s="614">
        <v>5.5</v>
      </c>
      <c r="G149" s="75"/>
    </row>
    <row r="150" spans="1:7" ht="14">
      <c r="A150" s="239"/>
      <c r="B150" s="273" t="s">
        <v>106</v>
      </c>
      <c r="C150" s="622">
        <v>0.17599999999999999</v>
      </c>
      <c r="D150" s="622">
        <v>0.311</v>
      </c>
      <c r="E150" s="622">
        <v>0.52900000000000003</v>
      </c>
      <c r="F150" s="616">
        <v>5.5</v>
      </c>
      <c r="G150" s="75"/>
    </row>
    <row r="151" spans="1:7" ht="14">
      <c r="A151" s="239"/>
      <c r="B151" s="273" t="s">
        <v>107</v>
      </c>
      <c r="C151" s="622">
        <v>0.17599999999999999</v>
      </c>
      <c r="D151" s="622">
        <v>0.312</v>
      </c>
      <c r="E151" s="622">
        <v>0.47599999999999998</v>
      </c>
      <c r="F151" s="616">
        <v>5.5</v>
      </c>
      <c r="G151" s="75"/>
    </row>
    <row r="152" spans="1:7" ht="14">
      <c r="A152" s="239"/>
      <c r="B152" s="273" t="s">
        <v>108</v>
      </c>
      <c r="C152" s="622">
        <v>0.17599999999999999</v>
      </c>
      <c r="D152" s="622">
        <v>0.312</v>
      </c>
      <c r="E152" s="622">
        <v>0.47899999999999998</v>
      </c>
      <c r="F152" s="616">
        <v>5.5</v>
      </c>
      <c r="G152" s="75"/>
    </row>
    <row r="153" spans="1:7" ht="14">
      <c r="A153" s="239"/>
      <c r="B153" s="273" t="s">
        <v>109</v>
      </c>
      <c r="C153" s="622">
        <v>0.17624999999999999</v>
      </c>
      <c r="D153" s="622">
        <v>0.33163749999999997</v>
      </c>
      <c r="E153" s="622">
        <v>0.47950000000000004</v>
      </c>
      <c r="F153" s="616">
        <v>5.5</v>
      </c>
      <c r="G153" s="75"/>
    </row>
    <row r="154" spans="1:7" ht="14">
      <c r="A154" s="239"/>
      <c r="B154" s="273" t="s">
        <v>110</v>
      </c>
      <c r="C154" s="622">
        <v>0.17699999999999999</v>
      </c>
      <c r="D154" s="622">
        <v>0.33200000000000002</v>
      </c>
      <c r="E154" s="622">
        <v>0.48099999999999998</v>
      </c>
      <c r="F154" s="616">
        <v>5.5</v>
      </c>
      <c r="G154" s="75"/>
    </row>
    <row r="155" spans="1:7" ht="14">
      <c r="A155" s="239"/>
      <c r="B155" s="273" t="s">
        <v>117</v>
      </c>
      <c r="C155" s="622">
        <v>0.184</v>
      </c>
      <c r="D155" s="622">
        <v>0.35599999999999998</v>
      </c>
      <c r="E155" s="622">
        <v>0.48399999999999999</v>
      </c>
      <c r="F155" s="616">
        <v>5.5</v>
      </c>
      <c r="G155" s="75"/>
    </row>
    <row r="156" spans="1:7" ht="14">
      <c r="A156" s="239"/>
      <c r="B156" s="273" t="s">
        <v>112</v>
      </c>
      <c r="C156" s="622">
        <v>0.184</v>
      </c>
      <c r="D156" s="622">
        <v>0.35599999999999998</v>
      </c>
      <c r="E156" s="622">
        <v>0.48899999999999999</v>
      </c>
      <c r="F156" s="616">
        <v>5.5</v>
      </c>
      <c r="G156" s="75"/>
    </row>
    <row r="157" spans="1:7" ht="14">
      <c r="A157" s="239"/>
      <c r="B157" s="273" t="s">
        <v>113</v>
      </c>
      <c r="C157" s="622">
        <v>0.22</v>
      </c>
      <c r="D157" s="622">
        <v>0.36699999999999999</v>
      </c>
      <c r="E157" s="622">
        <v>0.497</v>
      </c>
      <c r="F157" s="616">
        <v>5.5</v>
      </c>
      <c r="G157" s="75"/>
    </row>
    <row r="158" spans="1:7" ht="14">
      <c r="A158" s="239"/>
      <c r="B158" s="273" t="s">
        <v>114</v>
      </c>
      <c r="C158" s="622">
        <v>0.219</v>
      </c>
      <c r="D158" s="622">
        <v>0.375</v>
      </c>
      <c r="E158" s="622">
        <v>0.53400000000000003</v>
      </c>
      <c r="F158" s="616">
        <v>5.5</v>
      </c>
      <c r="G158" s="75"/>
    </row>
    <row r="159" spans="1:7" ht="14">
      <c r="A159" s="239"/>
      <c r="B159" s="273" t="s">
        <v>115</v>
      </c>
      <c r="C159" s="622">
        <v>0.222</v>
      </c>
      <c r="D159" s="622">
        <v>0.38</v>
      </c>
      <c r="E159" s="622">
        <v>0.54800000000000004</v>
      </c>
      <c r="F159" s="616">
        <v>5.5</v>
      </c>
      <c r="G159" s="75"/>
    </row>
    <row r="160" spans="1:7" ht="14">
      <c r="A160" s="240"/>
      <c r="B160" s="274" t="s">
        <v>116</v>
      </c>
      <c r="C160" s="624">
        <v>0.221</v>
      </c>
      <c r="D160" s="624">
        <v>0.38100000000000001</v>
      </c>
      <c r="E160" s="624">
        <v>0.56799999999999995</v>
      </c>
      <c r="F160" s="618">
        <v>5.5</v>
      </c>
      <c r="G160" s="75"/>
    </row>
    <row r="161" spans="1:12" ht="14">
      <c r="A161" s="238">
        <v>2024</v>
      </c>
      <c r="B161" s="272" t="s">
        <v>105</v>
      </c>
      <c r="C161" s="621">
        <v>0.22</v>
      </c>
      <c r="D161" s="621">
        <v>0.36</v>
      </c>
      <c r="E161" s="621">
        <v>0.57999999999999996</v>
      </c>
      <c r="F161" s="614">
        <v>5.5</v>
      </c>
      <c r="G161" s="75"/>
    </row>
    <row r="162" spans="1:12" ht="14">
      <c r="A162" s="239"/>
      <c r="B162" s="273" t="s">
        <v>106</v>
      </c>
      <c r="C162" s="622">
        <v>0.22600000000000001</v>
      </c>
      <c r="D162" s="622">
        <v>0.36599999999999999</v>
      </c>
      <c r="E162" s="622">
        <v>0.59399999999999997</v>
      </c>
      <c r="F162" s="616">
        <v>5.5</v>
      </c>
      <c r="G162" s="75"/>
    </row>
    <row r="163" spans="1:12" ht="14">
      <c r="A163" s="239"/>
      <c r="B163" s="273" t="s">
        <v>107</v>
      </c>
      <c r="C163" s="622">
        <v>0.42</v>
      </c>
      <c r="D163" s="622">
        <v>0.35699999999999998</v>
      </c>
      <c r="E163" s="622">
        <v>0.628</v>
      </c>
      <c r="F163" s="616">
        <v>5.5</v>
      </c>
      <c r="G163" s="75"/>
    </row>
    <row r="164" spans="1:12" ht="14">
      <c r="A164" s="239"/>
      <c r="B164" s="273" t="s">
        <v>108</v>
      </c>
      <c r="C164" s="622">
        <v>0.42</v>
      </c>
      <c r="D164" s="622">
        <v>0.371</v>
      </c>
      <c r="E164" s="622">
        <v>0.65</v>
      </c>
      <c r="F164" s="616">
        <v>5.5</v>
      </c>
      <c r="G164" s="75"/>
    </row>
    <row r="165" spans="1:12" ht="14">
      <c r="A165" s="239"/>
      <c r="B165" s="273" t="s">
        <v>109</v>
      </c>
      <c r="C165" s="622">
        <v>0.45700000000000002</v>
      </c>
      <c r="D165" s="622">
        <v>0.40899999999999997</v>
      </c>
      <c r="E165" s="622">
        <v>0.67300000000000004</v>
      </c>
      <c r="F165" s="616">
        <v>5.5</v>
      </c>
      <c r="G165" s="75"/>
    </row>
    <row r="166" spans="1:12" ht="14">
      <c r="A166" s="239"/>
      <c r="B166" s="273" t="s">
        <v>110</v>
      </c>
      <c r="C166" s="622">
        <v>0.44600000000000001</v>
      </c>
      <c r="D166" s="622">
        <v>0.42199999999999999</v>
      </c>
      <c r="E166" s="622">
        <v>0.67800000000000005</v>
      </c>
      <c r="F166" s="616">
        <v>5.5</v>
      </c>
      <c r="G166" s="75"/>
    </row>
    <row r="167" spans="1:12" ht="14">
      <c r="A167" s="239"/>
      <c r="B167" s="273" t="s">
        <v>117</v>
      </c>
      <c r="C167" s="622">
        <v>0.45900000000000002</v>
      </c>
      <c r="D167" s="622">
        <v>0.437</v>
      </c>
      <c r="E167" s="622">
        <v>0.68500000000000005</v>
      </c>
      <c r="F167" s="616">
        <v>5.5</v>
      </c>
      <c r="G167" s="75"/>
    </row>
    <row r="168" spans="1:12" ht="14">
      <c r="A168" s="239"/>
      <c r="B168" s="273" t="s">
        <v>112</v>
      </c>
      <c r="C168" s="622">
        <v>0.45300000000000001</v>
      </c>
      <c r="D168" s="622">
        <v>0.433</v>
      </c>
      <c r="E168" s="622">
        <v>0.69</v>
      </c>
      <c r="F168" s="616">
        <v>5.5</v>
      </c>
      <c r="G168" s="75"/>
    </row>
    <row r="169" spans="1:12" ht="14">
      <c r="A169" s="239"/>
      <c r="B169" s="273" t="s">
        <v>113</v>
      </c>
      <c r="C169" s="622">
        <v>0.29699999999999999</v>
      </c>
      <c r="D169" s="622">
        <v>0.438</v>
      </c>
      <c r="E169" s="622">
        <v>0.69</v>
      </c>
      <c r="F169" s="616">
        <v>5.5</v>
      </c>
      <c r="G169" s="75"/>
    </row>
    <row r="170" spans="1:12" ht="14">
      <c r="A170" s="239"/>
      <c r="B170" s="273" t="s">
        <v>114</v>
      </c>
      <c r="C170" s="622">
        <v>0.436</v>
      </c>
      <c r="D170" s="622">
        <v>0.443</v>
      </c>
      <c r="E170" s="622">
        <v>0.68400000000000005</v>
      </c>
      <c r="F170" s="616">
        <v>5.5</v>
      </c>
      <c r="G170" s="75"/>
    </row>
    <row r="171" spans="1:12" ht="14">
      <c r="A171" s="239"/>
      <c r="B171" s="273" t="s">
        <v>115</v>
      </c>
      <c r="C171" s="622">
        <v>0.42699999999999999</v>
      </c>
      <c r="D171" s="622">
        <v>0.41699999999999998</v>
      </c>
      <c r="E171" s="622">
        <v>0.68200000000000005</v>
      </c>
      <c r="F171" s="616">
        <v>5.5</v>
      </c>
      <c r="G171" s="75"/>
    </row>
    <row r="172" spans="1:12" ht="14">
      <c r="A172" s="240"/>
      <c r="B172" s="274" t="s">
        <v>116</v>
      </c>
      <c r="C172" s="624">
        <v>0.39500000000000002</v>
      </c>
      <c r="D172" s="624">
        <v>0.42099999999999999</v>
      </c>
      <c r="E172" s="624">
        <v>0.67600000000000005</v>
      </c>
      <c r="F172" s="618">
        <v>5.5</v>
      </c>
      <c r="G172" s="75"/>
    </row>
    <row r="173" spans="1:12" ht="14">
      <c r="A173" s="238">
        <v>2025</v>
      </c>
      <c r="B173" s="272" t="s">
        <v>105</v>
      </c>
      <c r="C173" s="621">
        <v>0.39400000000000002</v>
      </c>
      <c r="D173" s="621">
        <v>0.41899999999999998</v>
      </c>
      <c r="E173" s="621">
        <v>0.67100000000000004</v>
      </c>
      <c r="F173" s="614">
        <v>5.5</v>
      </c>
      <c r="G173" s="75"/>
    </row>
    <row r="174" spans="1:12" ht="14">
      <c r="A174" s="239"/>
      <c r="B174" s="273" t="s">
        <v>106</v>
      </c>
      <c r="C174" s="622">
        <v>0.39</v>
      </c>
      <c r="D174" s="622">
        <v>0.42399999999999999</v>
      </c>
      <c r="E174" s="622">
        <v>0.66600000000000004</v>
      </c>
      <c r="F174" s="616">
        <v>5.5</v>
      </c>
      <c r="G174" s="75"/>
      <c r="H174" s="75"/>
      <c r="I174" s="75"/>
      <c r="J174" s="75"/>
      <c r="K174" s="75"/>
      <c r="L174" s="75"/>
    </row>
    <row r="175" spans="1:12" ht="14">
      <c r="A175" s="239"/>
      <c r="B175" s="273" t="s">
        <v>107</v>
      </c>
      <c r="C175" s="622">
        <v>0.35599999999999998</v>
      </c>
      <c r="D175" s="622">
        <v>0.433</v>
      </c>
      <c r="E175" s="622">
        <v>0.64500000000000002</v>
      </c>
      <c r="F175" s="616">
        <v>5.5</v>
      </c>
      <c r="G175" s="206"/>
      <c r="H175" s="206"/>
      <c r="I175" s="237"/>
      <c r="J175" s="237"/>
      <c r="K175" s="237"/>
      <c r="L175" s="206"/>
    </row>
    <row r="176" spans="1:12" ht="14">
      <c r="A176" s="239"/>
      <c r="B176" s="273" t="s">
        <v>108</v>
      </c>
      <c r="C176" s="622">
        <v>0.35399999999999998</v>
      </c>
      <c r="D176" s="622">
        <v>0.41799999999999998</v>
      </c>
      <c r="E176" s="622">
        <v>0.629</v>
      </c>
      <c r="F176" s="616">
        <v>5.5</v>
      </c>
      <c r="G176" s="75"/>
      <c r="H176" s="75"/>
      <c r="I176" s="75"/>
      <c r="J176" s="75"/>
      <c r="K176" s="75"/>
      <c r="L176" s="75"/>
    </row>
    <row r="177" spans="1:12" ht="14">
      <c r="A177" s="239"/>
      <c r="B177" s="273" t="s">
        <v>109</v>
      </c>
      <c r="C177" s="622">
        <v>0.35499999999999998</v>
      </c>
      <c r="D177" s="622">
        <v>0.41</v>
      </c>
      <c r="E177" s="622">
        <v>0.59699999999999998</v>
      </c>
      <c r="F177" s="616">
        <v>5.5</v>
      </c>
      <c r="G177" s="75"/>
    </row>
    <row r="178" spans="1:12" ht="14">
      <c r="A178" s="239"/>
      <c r="B178" s="273" t="s">
        <v>110</v>
      </c>
      <c r="C178" s="622">
        <v>0.317</v>
      </c>
      <c r="D178" s="622">
        <v>0.40200000000000002</v>
      </c>
      <c r="E178" s="622">
        <v>0.58799999999999997</v>
      </c>
      <c r="F178" s="616">
        <v>5.5</v>
      </c>
      <c r="G178" s="75"/>
      <c r="H178" s="75"/>
      <c r="I178" s="75"/>
      <c r="J178" s="75"/>
      <c r="K178" s="75"/>
      <c r="L178" s="75"/>
    </row>
    <row r="179" spans="1:12" ht="14">
      <c r="A179" s="239"/>
      <c r="B179" s="273" t="s">
        <v>117</v>
      </c>
      <c r="C179" s="622">
        <v>0.316</v>
      </c>
      <c r="D179" s="622">
        <v>0.39</v>
      </c>
      <c r="E179" s="622">
        <v>0.56899999999999995</v>
      </c>
      <c r="F179" s="616">
        <v>5.5</v>
      </c>
      <c r="G179" s="75"/>
      <c r="H179" s="75"/>
      <c r="I179" s="75"/>
      <c r="J179" s="75"/>
      <c r="K179" s="75"/>
      <c r="L179" s="75"/>
    </row>
    <row r="180" spans="1:12" ht="14">
      <c r="A180" s="239"/>
      <c r="B180" s="273" t="s">
        <v>112</v>
      </c>
      <c r="C180" s="622">
        <v>0.30599999999999999</v>
      </c>
      <c r="D180" s="622">
        <v>0.378</v>
      </c>
      <c r="E180" s="622">
        <v>0.54600000000000004</v>
      </c>
      <c r="F180" s="616">
        <v>5.5</v>
      </c>
      <c r="G180" s="75"/>
      <c r="H180" s="75"/>
      <c r="I180" s="75"/>
      <c r="J180" s="75"/>
      <c r="K180" s="75"/>
      <c r="L180" s="75"/>
    </row>
    <row r="181" spans="1:12" ht="14">
      <c r="A181" s="239"/>
      <c r="B181" s="273" t="s">
        <v>113</v>
      </c>
      <c r="C181" s="622">
        <v>0.25</v>
      </c>
      <c r="D181" s="622">
        <v>0.35399999999999998</v>
      </c>
      <c r="E181" s="622">
        <v>0.54200000000000004</v>
      </c>
      <c r="F181" s="616">
        <v>5.5</v>
      </c>
      <c r="G181" s="75"/>
      <c r="H181" s="75"/>
      <c r="I181" s="75"/>
      <c r="J181" s="75"/>
      <c r="K181" s="75"/>
      <c r="L181" s="75"/>
    </row>
    <row r="182" spans="1:12" ht="14">
      <c r="A182" s="239"/>
      <c r="B182" s="273" t="s">
        <v>114</v>
      </c>
      <c r="C182" s="622">
        <v>0.248</v>
      </c>
      <c r="D182" s="622">
        <v>0.35499999999999998</v>
      </c>
      <c r="E182" s="622">
        <v>0.53900000000000003</v>
      </c>
      <c r="F182" s="616">
        <v>5.5</v>
      </c>
      <c r="G182" s="75"/>
      <c r="H182" s="75"/>
      <c r="I182" s="75"/>
      <c r="J182" s="75"/>
      <c r="K182" s="75"/>
      <c r="L182" s="75"/>
    </row>
    <row r="183" spans="1:12" ht="14">
      <c r="A183" s="239"/>
      <c r="B183" s="273" t="s">
        <v>115</v>
      </c>
      <c r="C183" s="622">
        <v>0.24299999999999999</v>
      </c>
      <c r="D183" s="622">
        <v>0.34799999999999998</v>
      </c>
      <c r="E183" s="622">
        <v>0.53400000000000003</v>
      </c>
      <c r="F183" s="616">
        <v>5.5</v>
      </c>
      <c r="G183" s="75"/>
      <c r="H183" s="75"/>
      <c r="I183" s="75"/>
      <c r="J183" s="75"/>
      <c r="K183" s="75"/>
      <c r="L183" s="75"/>
    </row>
    <row r="184" spans="1:12" ht="14">
      <c r="A184" s="240"/>
      <c r="B184" s="274" t="s">
        <v>116</v>
      </c>
      <c r="C184" s="624">
        <v>0.23599999999999999</v>
      </c>
      <c r="D184" s="624">
        <v>0.33700000000000002</v>
      </c>
      <c r="E184" s="624">
        <v>0.52800000000000002</v>
      </c>
      <c r="F184" s="618">
        <v>5.5</v>
      </c>
      <c r="G184" s="75"/>
      <c r="H184" s="75"/>
      <c r="I184" s="75"/>
      <c r="J184" s="75"/>
      <c r="K184" s="75"/>
      <c r="L184" s="75"/>
    </row>
    <row r="185" spans="1:12" ht="14">
      <c r="A185" s="238">
        <v>2026</v>
      </c>
      <c r="B185" s="272" t="s">
        <v>105</v>
      </c>
      <c r="C185" s="621">
        <v>0.23499999999999999</v>
      </c>
      <c r="D185" s="621">
        <v>0.33600000000000002</v>
      </c>
      <c r="E185" s="621">
        <v>0.51900000000000002</v>
      </c>
      <c r="F185" s="614">
        <v>5.5</v>
      </c>
      <c r="G185" s="75"/>
      <c r="H185" s="75"/>
      <c r="I185" s="75"/>
      <c r="J185" s="75"/>
      <c r="K185" s="75"/>
      <c r="L185" s="75"/>
    </row>
    <row r="186" spans="1:12" ht="14">
      <c r="A186" s="239"/>
      <c r="B186" s="273" t="s">
        <v>106</v>
      </c>
      <c r="C186" s="622">
        <v>0.23400000000000001</v>
      </c>
      <c r="D186" s="622">
        <v>0.33300000000000002</v>
      </c>
      <c r="E186" s="622">
        <v>0.51200000000000001</v>
      </c>
      <c r="F186" s="616">
        <v>5.5</v>
      </c>
      <c r="G186" s="75"/>
      <c r="H186" s="75"/>
      <c r="I186" s="75"/>
      <c r="J186" s="75"/>
      <c r="K186" s="75"/>
      <c r="L186" s="75"/>
    </row>
    <row r="187" spans="1:12" ht="14">
      <c r="A187" s="240"/>
      <c r="B187" s="274" t="s">
        <v>107</v>
      </c>
      <c r="C187" s="624">
        <v>0.23300000000000001</v>
      </c>
      <c r="D187" s="624">
        <v>0.32900000000000001</v>
      </c>
      <c r="E187" s="624">
        <v>0.503</v>
      </c>
      <c r="F187" s="618">
        <v>5.5</v>
      </c>
      <c r="G187" s="75"/>
      <c r="H187" s="75"/>
      <c r="I187" s="75"/>
      <c r="J187" s="75"/>
      <c r="K187" s="75"/>
      <c r="L187" s="75"/>
    </row>
    <row r="188" spans="1:12">
      <c r="A188" s="67"/>
      <c r="B188" s="67"/>
      <c r="C188" s="93"/>
      <c r="D188" s="93"/>
      <c r="E188" s="93"/>
      <c r="F188" s="94"/>
      <c r="G188" s="75"/>
    </row>
    <row r="189" spans="1:12">
      <c r="A189" s="196" t="s">
        <v>195</v>
      </c>
    </row>
    <row r="190" spans="1:12">
      <c r="A190" s="168" t="s">
        <v>168</v>
      </c>
    </row>
    <row r="191" spans="1:12">
      <c r="A191" s="68"/>
    </row>
    <row r="192" spans="1:12">
      <c r="A192" s="69"/>
      <c r="D192" s="206"/>
    </row>
    <row r="193" spans="4:4">
      <c r="D193" s="206"/>
    </row>
    <row r="194" spans="4:4">
      <c r="D194" s="206"/>
    </row>
  </sheetData>
  <sheetProtection sheet="1" formatCells="0" insertColumns="0" insertRows="0" deleteColumns="0" deleteRows="0"/>
  <mergeCells count="6">
    <mergeCell ref="A1:E1"/>
    <mergeCell ref="F3:F4"/>
    <mergeCell ref="A3:B4"/>
    <mergeCell ref="C3:C4"/>
    <mergeCell ref="D3:D4"/>
    <mergeCell ref="E3:E4"/>
  </mergeCells>
  <printOptions horizontalCentered="1"/>
  <pageMargins left="0.17" right="0.22"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E31"/>
  <sheetViews>
    <sheetView workbookViewId="0">
      <selection activeCell="A2" sqref="A2"/>
    </sheetView>
  </sheetViews>
  <sheetFormatPr defaultColWidth="9.1796875" defaultRowHeight="12.5"/>
  <cols>
    <col min="1" max="1" width="6.81640625" style="6" customWidth="1"/>
    <col min="2" max="2" width="6.81640625" style="8" customWidth="1"/>
    <col min="3" max="5" width="22.81640625" style="33" customWidth="1"/>
    <col min="6" max="16384" width="9.1796875" style="6"/>
  </cols>
  <sheetData>
    <row r="1" spans="1:5" s="4" customFormat="1" ht="14">
      <c r="A1" s="1" t="s">
        <v>376</v>
      </c>
      <c r="B1" s="2"/>
      <c r="C1" s="3"/>
      <c r="D1" s="3"/>
      <c r="E1" s="3"/>
    </row>
    <row r="2" spans="1:5">
      <c r="A2" s="5"/>
    </row>
    <row r="3" spans="1:5" ht="15.75" customHeight="1">
      <c r="A3" s="735" t="s">
        <v>97</v>
      </c>
      <c r="B3" s="735"/>
      <c r="C3" s="735"/>
      <c r="D3" s="735"/>
      <c r="E3" s="735"/>
    </row>
    <row r="4" spans="1:5">
      <c r="A4" s="841" t="s">
        <v>98</v>
      </c>
      <c r="B4" s="841"/>
      <c r="C4" s="841" t="s">
        <v>377</v>
      </c>
      <c r="D4" s="840" t="s">
        <v>378</v>
      </c>
      <c r="E4" s="840"/>
    </row>
    <row r="5" spans="1:5" s="33" customFormat="1">
      <c r="A5" s="841"/>
      <c r="B5" s="841"/>
      <c r="C5" s="841"/>
      <c r="D5" s="35" t="s">
        <v>3</v>
      </c>
      <c r="E5" s="35" t="s">
        <v>379</v>
      </c>
    </row>
    <row r="6" spans="1:5">
      <c r="A6" s="219">
        <v>2011</v>
      </c>
      <c r="B6" s="232" t="s">
        <v>105</v>
      </c>
      <c r="C6" s="233">
        <v>1042.1600000000001</v>
      </c>
      <c r="D6" s="234">
        <v>1002.2</v>
      </c>
      <c r="E6" s="233">
        <f>C6-D6</f>
        <v>39.960000000000036</v>
      </c>
    </row>
    <row r="7" spans="1:5">
      <c r="A7" s="10"/>
      <c r="B7" s="33" t="s">
        <v>106</v>
      </c>
      <c r="C7" s="14">
        <v>1064.45</v>
      </c>
      <c r="D7" s="36">
        <v>979.24</v>
      </c>
      <c r="E7" s="14">
        <f t="shared" ref="E7:E24" si="0">C7-D7</f>
        <v>85.210000000000036</v>
      </c>
    </row>
    <row r="8" spans="1:5">
      <c r="A8" s="10"/>
      <c r="B8" s="33" t="s">
        <v>107</v>
      </c>
      <c r="C8" s="14">
        <v>1001.04</v>
      </c>
      <c r="D8" s="36">
        <v>949.84</v>
      </c>
      <c r="E8" s="14">
        <f t="shared" si="0"/>
        <v>51.199999999999932</v>
      </c>
    </row>
    <row r="9" spans="1:5">
      <c r="A9" s="10"/>
      <c r="B9" s="33" t="s">
        <v>108</v>
      </c>
      <c r="C9" s="14">
        <v>1004.82</v>
      </c>
      <c r="D9" s="36">
        <v>972.84</v>
      </c>
      <c r="E9" s="14">
        <f t="shared" si="0"/>
        <v>31.980000000000018</v>
      </c>
    </row>
    <row r="10" spans="1:5">
      <c r="A10" s="10"/>
      <c r="B10" s="33" t="s">
        <v>109</v>
      </c>
      <c r="C10" s="14">
        <v>1028.71</v>
      </c>
      <c r="D10" s="36">
        <v>971.09</v>
      </c>
      <c r="E10" s="14">
        <f t="shared" si="0"/>
        <v>57.620000000000005</v>
      </c>
    </row>
    <row r="11" spans="1:5">
      <c r="A11" s="10"/>
      <c r="B11" s="33" t="s">
        <v>110</v>
      </c>
      <c r="C11" s="14">
        <v>1031.0899999999999</v>
      </c>
      <c r="D11" s="36">
        <v>942.14</v>
      </c>
      <c r="E11" s="14">
        <f t="shared" si="0"/>
        <v>88.949999999999932</v>
      </c>
    </row>
    <row r="12" spans="1:5">
      <c r="A12" s="10"/>
      <c r="B12" s="33" t="s">
        <v>111</v>
      </c>
      <c r="C12" s="14">
        <v>1038.29</v>
      </c>
      <c r="D12" s="36">
        <v>953.02</v>
      </c>
      <c r="E12" s="14">
        <f t="shared" si="0"/>
        <v>85.269999999999982</v>
      </c>
    </row>
    <row r="13" spans="1:5">
      <c r="A13" s="10"/>
      <c r="B13" s="33" t="s">
        <v>112</v>
      </c>
      <c r="C13" s="14">
        <v>1067.28</v>
      </c>
      <c r="D13" s="36">
        <v>970.79</v>
      </c>
      <c r="E13" s="14">
        <f t="shared" si="0"/>
        <v>96.490000000000009</v>
      </c>
    </row>
    <row r="14" spans="1:5">
      <c r="A14" s="10"/>
      <c r="B14" s="33" t="s">
        <v>113</v>
      </c>
      <c r="C14" s="14">
        <v>1037.4000000000001</v>
      </c>
      <c r="D14" s="36">
        <v>915.19</v>
      </c>
      <c r="E14" s="14">
        <f t="shared" si="0"/>
        <v>122.21000000000004</v>
      </c>
    </row>
    <row r="15" spans="1:5">
      <c r="A15" s="10"/>
      <c r="B15" s="33" t="s">
        <v>114</v>
      </c>
      <c r="C15" s="14">
        <v>1041.03</v>
      </c>
      <c r="D15" s="36">
        <v>1002.48</v>
      </c>
      <c r="E15" s="14">
        <f t="shared" si="0"/>
        <v>38.549999999999955</v>
      </c>
    </row>
    <row r="16" spans="1:5">
      <c r="A16" s="10"/>
      <c r="B16" s="33" t="s">
        <v>115</v>
      </c>
      <c r="C16" s="14">
        <v>1048.21</v>
      </c>
      <c r="D16" s="36">
        <v>1003.65</v>
      </c>
      <c r="E16" s="14">
        <f t="shared" si="0"/>
        <v>44.560000000000059</v>
      </c>
    </row>
    <row r="17" spans="1:5">
      <c r="A17" s="12"/>
      <c r="B17" s="34" t="s">
        <v>116</v>
      </c>
      <c r="C17" s="37">
        <v>1826.36</v>
      </c>
      <c r="D17" s="38">
        <v>1689.99</v>
      </c>
      <c r="E17" s="37">
        <f t="shared" si="0"/>
        <v>136.36999999999989</v>
      </c>
    </row>
    <row r="18" spans="1:5">
      <c r="A18" s="219">
        <v>2012</v>
      </c>
      <c r="B18" s="232" t="s">
        <v>105</v>
      </c>
      <c r="C18" s="233">
        <v>1102.4953264400001</v>
      </c>
      <c r="D18" s="234">
        <v>997.84082181999997</v>
      </c>
      <c r="E18" s="233">
        <f t="shared" si="0"/>
        <v>104.65450462000013</v>
      </c>
    </row>
    <row r="19" spans="1:5">
      <c r="A19" s="10"/>
      <c r="B19" s="33" t="s">
        <v>106</v>
      </c>
      <c r="C19" s="14">
        <v>1039.03011679</v>
      </c>
      <c r="D19" s="36">
        <v>1125.6970962999999</v>
      </c>
      <c r="E19" s="14">
        <f t="shared" si="0"/>
        <v>-86.666979509999919</v>
      </c>
    </row>
    <row r="20" spans="1:5">
      <c r="A20" s="10"/>
      <c r="B20" s="33" t="s">
        <v>107</v>
      </c>
      <c r="C20" s="14">
        <v>1356.8377165999998</v>
      </c>
      <c r="D20" s="36">
        <v>1238.85499026</v>
      </c>
      <c r="E20" s="14">
        <f t="shared" si="0"/>
        <v>117.98272633999977</v>
      </c>
    </row>
    <row r="21" spans="1:5">
      <c r="A21" s="10"/>
      <c r="B21" s="33" t="s">
        <v>108</v>
      </c>
      <c r="C21" s="14">
        <v>2511.7642013181135</v>
      </c>
      <c r="D21" s="36">
        <v>2346.5936323900005</v>
      </c>
      <c r="E21" s="14">
        <f t="shared" si="0"/>
        <v>165.17056892811297</v>
      </c>
    </row>
    <row r="22" spans="1:5">
      <c r="A22" s="10"/>
      <c r="B22" s="33" t="s">
        <v>109</v>
      </c>
      <c r="C22" s="14">
        <v>2175.0865613208921</v>
      </c>
      <c r="D22" s="36">
        <v>2062.0124522600004</v>
      </c>
      <c r="E22" s="14">
        <f t="shared" si="0"/>
        <v>113.07410906089171</v>
      </c>
    </row>
    <row r="23" spans="1:5">
      <c r="A23" s="10"/>
      <c r="B23" s="33" t="s">
        <v>110</v>
      </c>
      <c r="C23" s="14">
        <v>2317.1195120549223</v>
      </c>
      <c r="D23" s="36">
        <v>2125.1717992499998</v>
      </c>
      <c r="E23" s="14">
        <f t="shared" si="0"/>
        <v>191.9477128049225</v>
      </c>
    </row>
    <row r="24" spans="1:5">
      <c r="A24" s="10"/>
      <c r="B24" s="33" t="s">
        <v>111</v>
      </c>
      <c r="C24" s="14">
        <v>2350.433497503017</v>
      </c>
      <c r="D24" s="36">
        <v>2109.1354985899998</v>
      </c>
      <c r="E24" s="14">
        <f t="shared" si="0"/>
        <v>241.29799891301718</v>
      </c>
    </row>
    <row r="25" spans="1:5">
      <c r="A25" s="10"/>
      <c r="B25" s="33" t="s">
        <v>112</v>
      </c>
      <c r="C25" s="14"/>
      <c r="D25" s="36">
        <v>1848.6834745000001</v>
      </c>
      <c r="E25" s="14"/>
    </row>
    <row r="26" spans="1:5">
      <c r="A26" s="10"/>
      <c r="B26" s="33" t="s">
        <v>113</v>
      </c>
      <c r="C26" s="14"/>
      <c r="D26" s="36">
        <v>1623.7179944100001</v>
      </c>
      <c r="E26" s="14"/>
    </row>
    <row r="27" spans="1:5">
      <c r="A27" s="10"/>
      <c r="B27" s="33" t="s">
        <v>114</v>
      </c>
      <c r="C27" s="14"/>
      <c r="D27" s="36">
        <v>1610.3939718300001</v>
      </c>
      <c r="E27" s="14"/>
    </row>
    <row r="28" spans="1:5">
      <c r="A28" s="10"/>
      <c r="B28" s="33" t="s">
        <v>115</v>
      </c>
      <c r="C28" s="14"/>
      <c r="D28" s="36"/>
      <c r="E28" s="14"/>
    </row>
    <row r="29" spans="1:5">
      <c r="A29" s="12"/>
      <c r="B29" s="34" t="s">
        <v>116</v>
      </c>
      <c r="C29" s="39"/>
      <c r="D29" s="40"/>
      <c r="E29" s="39"/>
    </row>
    <row r="31" spans="1:5">
      <c r="A31" s="6" t="s">
        <v>380</v>
      </c>
    </row>
  </sheetData>
  <mergeCells count="4">
    <mergeCell ref="D4:E4"/>
    <mergeCell ref="A4:B5"/>
    <mergeCell ref="C4:C5"/>
    <mergeCell ref="A3:E3"/>
  </mergeCells>
  <pageMargins left="0.7" right="0.7" top="0.75" bottom="0.75" header="0.3" footer="0.3"/>
  <pageSetup orientation="portrait" verticalDpi="598"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35"/>
  <sheetViews>
    <sheetView workbookViewId="0">
      <selection activeCell="A2" sqref="A2"/>
    </sheetView>
  </sheetViews>
  <sheetFormatPr defaultColWidth="9.1796875" defaultRowHeight="12.5"/>
  <cols>
    <col min="1" max="2" width="7.81640625" style="6" customWidth="1"/>
    <col min="3" max="4" width="35.81640625" style="6" customWidth="1"/>
    <col min="5" max="5" width="10.81640625" style="6" customWidth="1"/>
    <col min="6" max="6" width="9.54296875" style="6" bestFit="1" customWidth="1"/>
    <col min="7" max="16384" width="9.1796875" style="6"/>
  </cols>
  <sheetData>
    <row r="1" spans="1:4" s="4" customFormat="1" ht="14">
      <c r="A1" s="1" t="s">
        <v>381</v>
      </c>
    </row>
    <row r="3" spans="1:4">
      <c r="A3" s="735" t="s">
        <v>382</v>
      </c>
      <c r="B3" s="735"/>
      <c r="C3" s="735"/>
      <c r="D3" s="735"/>
    </row>
    <row r="4" spans="1:4" s="7" customFormat="1" ht="15" customHeight="1">
      <c r="A4" s="841" t="s">
        <v>98</v>
      </c>
      <c r="B4" s="841"/>
      <c r="C4" s="842" t="s">
        <v>383</v>
      </c>
      <c r="D4" s="842" t="s">
        <v>384</v>
      </c>
    </row>
    <row r="5" spans="1:4" s="7" customFormat="1" ht="15.75" customHeight="1">
      <c r="A5" s="841"/>
      <c r="B5" s="841"/>
      <c r="C5" s="842"/>
      <c r="D5" s="842"/>
    </row>
    <row r="6" spans="1:4">
      <c r="A6" s="219">
        <v>2011</v>
      </c>
      <c r="B6" s="220" t="s">
        <v>105</v>
      </c>
      <c r="C6" s="233">
        <v>100.296736</v>
      </c>
      <c r="D6" s="233"/>
    </row>
    <row r="7" spans="1:4">
      <c r="A7" s="10"/>
      <c r="B7" s="11" t="s">
        <v>106</v>
      </c>
      <c r="C7" s="14">
        <v>78.539489000000003</v>
      </c>
      <c r="D7" s="14"/>
    </row>
    <row r="8" spans="1:4">
      <c r="A8" s="10"/>
      <c r="B8" s="11" t="s">
        <v>107</v>
      </c>
      <c r="C8" s="14">
        <v>104.325091</v>
      </c>
      <c r="D8" s="14"/>
    </row>
    <row r="9" spans="1:4">
      <c r="A9" s="10"/>
      <c r="B9" s="11" t="s">
        <v>108</v>
      </c>
      <c r="C9" s="14">
        <v>82.773931000000005</v>
      </c>
      <c r="D9" s="14"/>
    </row>
    <row r="10" spans="1:4">
      <c r="A10" s="10"/>
      <c r="B10" s="11" t="s">
        <v>109</v>
      </c>
      <c r="C10" s="14">
        <v>93.619546</v>
      </c>
      <c r="D10" s="14"/>
    </row>
    <row r="11" spans="1:4">
      <c r="A11" s="10"/>
      <c r="B11" s="11" t="s">
        <v>110</v>
      </c>
      <c r="C11" s="14">
        <v>97.075644999999994</v>
      </c>
      <c r="D11" s="14"/>
    </row>
    <row r="12" spans="1:4">
      <c r="A12" s="10"/>
      <c r="B12" s="11" t="s">
        <v>111</v>
      </c>
      <c r="C12" s="14">
        <v>95.235082000000006</v>
      </c>
      <c r="D12" s="14"/>
    </row>
    <row r="13" spans="1:4">
      <c r="A13" s="10"/>
      <c r="B13" s="11" t="s">
        <v>112</v>
      </c>
      <c r="C13" s="14">
        <v>80.275756999999999</v>
      </c>
      <c r="D13" s="14"/>
    </row>
    <row r="14" spans="1:4">
      <c r="A14" s="10"/>
      <c r="B14" s="11" t="s">
        <v>113</v>
      </c>
      <c r="C14" s="14">
        <v>85.055306000000002</v>
      </c>
      <c r="D14" s="14"/>
    </row>
    <row r="15" spans="1:4">
      <c r="A15" s="10"/>
      <c r="B15" s="11" t="s">
        <v>114</v>
      </c>
      <c r="C15" s="14">
        <v>77.001220000000004</v>
      </c>
      <c r="D15" s="14"/>
    </row>
    <row r="16" spans="1:4">
      <c r="A16" s="10"/>
      <c r="B16" s="11" t="s">
        <v>115</v>
      </c>
      <c r="C16" s="14">
        <v>78.214258000000001</v>
      </c>
      <c r="D16" s="14"/>
    </row>
    <row r="17" spans="1:6">
      <c r="A17" s="10"/>
      <c r="B17" s="11" t="s">
        <v>116</v>
      </c>
      <c r="C17" s="14">
        <v>98.190473999999995</v>
      </c>
      <c r="D17" s="14"/>
    </row>
    <row r="18" spans="1:6" s="5" customFormat="1">
      <c r="A18" s="15"/>
      <c r="B18" s="16" t="s">
        <v>102</v>
      </c>
      <c r="C18" s="17">
        <v>1070.602535</v>
      </c>
      <c r="D18" s="17">
        <v>23.225899999999999</v>
      </c>
      <c r="F18" s="18"/>
    </row>
    <row r="19" spans="1:6">
      <c r="A19" s="219">
        <v>2012</v>
      </c>
      <c r="B19" s="220" t="s">
        <v>105</v>
      </c>
      <c r="C19" s="233">
        <v>102.90445</v>
      </c>
      <c r="D19" s="19"/>
    </row>
    <row r="20" spans="1:6">
      <c r="A20" s="10"/>
      <c r="B20" s="11" t="s">
        <v>106</v>
      </c>
      <c r="C20" s="14">
        <v>73.345536999999993</v>
      </c>
      <c r="D20" s="19"/>
    </row>
    <row r="21" spans="1:6">
      <c r="A21" s="10"/>
      <c r="B21" s="11" t="s">
        <v>107</v>
      </c>
      <c r="C21" s="14">
        <v>96.751221999999999</v>
      </c>
      <c r="D21" s="19"/>
    </row>
    <row r="22" spans="1:6">
      <c r="A22" s="10"/>
      <c r="B22" s="11" t="s">
        <v>108</v>
      </c>
      <c r="C22" s="14">
        <v>90.910781999999998</v>
      </c>
      <c r="D22" s="19"/>
    </row>
    <row r="23" spans="1:6">
      <c r="A23" s="10"/>
      <c r="B23" s="11" t="s">
        <v>109</v>
      </c>
      <c r="C23" s="14">
        <v>83.307571999999993</v>
      </c>
      <c r="D23" s="19"/>
    </row>
    <row r="24" spans="1:6">
      <c r="A24" s="10"/>
      <c r="B24" s="11" t="s">
        <v>110</v>
      </c>
      <c r="C24" s="14">
        <v>106.798306</v>
      </c>
      <c r="D24" s="19"/>
    </row>
    <row r="25" spans="1:6">
      <c r="A25" s="10"/>
      <c r="B25" s="11" t="s">
        <v>111</v>
      </c>
      <c r="C25" s="14">
        <v>108.75269299999999</v>
      </c>
      <c r="D25" s="19"/>
    </row>
    <row r="26" spans="1:6">
      <c r="A26" s="10"/>
      <c r="B26" s="11" t="s">
        <v>112</v>
      </c>
      <c r="C26" s="14"/>
      <c r="D26" s="19"/>
    </row>
    <row r="27" spans="1:6">
      <c r="A27" s="10"/>
      <c r="B27" s="11" t="s">
        <v>113</v>
      </c>
      <c r="C27" s="14"/>
      <c r="D27" s="19"/>
    </row>
    <row r="28" spans="1:6">
      <c r="A28" s="10"/>
      <c r="B28" s="11" t="s">
        <v>114</v>
      </c>
      <c r="C28" s="14"/>
      <c r="D28" s="19"/>
    </row>
    <row r="29" spans="1:6">
      <c r="A29" s="10"/>
      <c r="B29" s="11" t="s">
        <v>115</v>
      </c>
      <c r="C29" s="14"/>
      <c r="D29" s="19"/>
    </row>
    <row r="30" spans="1:6">
      <c r="A30" s="10"/>
      <c r="B30" s="11" t="s">
        <v>116</v>
      </c>
      <c r="C30" s="14"/>
      <c r="D30" s="19"/>
    </row>
    <row r="31" spans="1:6" s="5" customFormat="1">
      <c r="A31" s="15"/>
      <c r="B31" s="16" t="s">
        <v>102</v>
      </c>
      <c r="C31" s="17"/>
      <c r="D31" s="20">
        <v>16.545576000000001</v>
      </c>
    </row>
    <row r="32" spans="1:6">
      <c r="C32" s="8"/>
      <c r="D32" s="8"/>
    </row>
    <row r="33" spans="1:4">
      <c r="A33" s="6" t="s">
        <v>380</v>
      </c>
      <c r="C33" s="8"/>
      <c r="D33" s="8"/>
    </row>
    <row r="34" spans="1:4">
      <c r="C34" s="8"/>
      <c r="D34" s="8"/>
    </row>
    <row r="35" spans="1:4">
      <c r="C35" s="8"/>
      <c r="D35" s="8"/>
    </row>
  </sheetData>
  <mergeCells count="4">
    <mergeCell ref="A4:B5"/>
    <mergeCell ref="C4:C5"/>
    <mergeCell ref="D4:D5"/>
    <mergeCell ref="A3:D3"/>
  </mergeCells>
  <pageMargins left="0.7" right="0.7" top="0.75" bottom="0.75" header="0.3" footer="0.3"/>
  <pageSetup orientation="portrait" verticalDpi="598"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S229"/>
  <sheetViews>
    <sheetView zoomScaleNormal="100" workbookViewId="0">
      <pane xSplit="2" ySplit="5" topLeftCell="C216" activePane="bottomRight" state="frozen"/>
      <selection pane="topRight" activeCell="J154" sqref="J154"/>
      <selection pane="bottomLeft" activeCell="J154" sqref="J154"/>
      <selection pane="bottomRight" sqref="A1:J1"/>
    </sheetView>
  </sheetViews>
  <sheetFormatPr defaultColWidth="9.1796875" defaultRowHeight="13"/>
  <cols>
    <col min="1" max="2" width="5.81640625" style="65" customWidth="1"/>
    <col min="3" max="3" width="8.1796875" style="65" bestFit="1" customWidth="1"/>
    <col min="4" max="6" width="6.81640625" style="65" customWidth="1"/>
    <col min="7" max="7" width="7.54296875" style="65" bestFit="1" customWidth="1"/>
    <col min="8" max="8" width="7.81640625" style="65" customWidth="1"/>
    <col min="9" max="9" width="6.81640625" style="65" customWidth="1"/>
    <col min="10" max="10" width="6.1796875" style="65" customWidth="1"/>
    <col min="11" max="13" width="6.81640625" style="65" customWidth="1"/>
    <col min="14" max="14" width="6.1796875" style="65" customWidth="1"/>
    <col min="15" max="15" width="7.54296875" style="65" bestFit="1" customWidth="1"/>
    <col min="16" max="16" width="8" style="65" bestFit="1" customWidth="1"/>
    <col min="17" max="17" width="6.54296875" style="65" customWidth="1"/>
    <col min="18" max="18" width="6.1796875" style="65" customWidth="1"/>
    <col min="19" max="16384" width="9.1796875" style="65"/>
  </cols>
  <sheetData>
    <row r="1" spans="1:18" ht="15.5">
      <c r="A1" s="709" t="s">
        <v>385</v>
      </c>
      <c r="B1" s="709"/>
      <c r="C1" s="709"/>
      <c r="D1" s="709"/>
      <c r="E1" s="709"/>
      <c r="F1" s="709"/>
      <c r="G1" s="709"/>
      <c r="H1" s="709"/>
      <c r="I1" s="709"/>
      <c r="J1" s="709"/>
    </row>
    <row r="3" spans="1:18" s="70" customFormat="1" ht="14.25" customHeight="1">
      <c r="A3" s="761" t="s">
        <v>386</v>
      </c>
      <c r="B3" s="761"/>
      <c r="C3" s="759" t="s">
        <v>387</v>
      </c>
      <c r="D3" s="759"/>
      <c r="E3" s="759"/>
      <c r="F3" s="759"/>
      <c r="G3" s="759" t="s">
        <v>388</v>
      </c>
      <c r="H3" s="759"/>
      <c r="I3" s="759"/>
      <c r="J3" s="759"/>
      <c r="K3" s="759" t="s">
        <v>387</v>
      </c>
      <c r="L3" s="759"/>
      <c r="M3" s="759"/>
      <c r="N3" s="759"/>
      <c r="O3" s="759" t="s">
        <v>388</v>
      </c>
      <c r="P3" s="759"/>
      <c r="Q3" s="759"/>
      <c r="R3" s="759"/>
    </row>
    <row r="4" spans="1:18" s="70" customFormat="1" ht="15.75" customHeight="1">
      <c r="A4" s="761"/>
      <c r="B4" s="761"/>
      <c r="C4" s="281" t="s">
        <v>389</v>
      </c>
      <c r="D4" s="281" t="s">
        <v>390</v>
      </c>
      <c r="E4" s="281" t="s">
        <v>391</v>
      </c>
      <c r="F4" s="281" t="s">
        <v>392</v>
      </c>
      <c r="G4" s="281" t="s">
        <v>393</v>
      </c>
      <c r="H4" s="281" t="s">
        <v>394</v>
      </c>
      <c r="I4" s="281" t="s">
        <v>395</v>
      </c>
      <c r="J4" s="281" t="s">
        <v>396</v>
      </c>
      <c r="K4" s="281" t="s">
        <v>389</v>
      </c>
      <c r="L4" s="281" t="s">
        <v>390</v>
      </c>
      <c r="M4" s="281" t="s">
        <v>391</v>
      </c>
      <c r="N4" s="281" t="s">
        <v>392</v>
      </c>
      <c r="O4" s="281" t="s">
        <v>393</v>
      </c>
      <c r="P4" s="281" t="s">
        <v>394</v>
      </c>
      <c r="Q4" s="281" t="s">
        <v>395</v>
      </c>
      <c r="R4" s="281" t="s">
        <v>396</v>
      </c>
    </row>
    <row r="5" spans="1:18" s="70" customFormat="1" ht="15.75" customHeight="1">
      <c r="A5" s="721"/>
      <c r="B5" s="721"/>
      <c r="C5" s="844" t="s">
        <v>98</v>
      </c>
      <c r="D5" s="844"/>
      <c r="E5" s="844"/>
      <c r="F5" s="844"/>
      <c r="G5" s="844"/>
      <c r="H5" s="844"/>
      <c r="I5" s="844"/>
      <c r="J5" s="844"/>
      <c r="K5" s="844" t="s">
        <v>397</v>
      </c>
      <c r="L5" s="844"/>
      <c r="M5" s="844"/>
      <c r="N5" s="844"/>
      <c r="O5" s="844"/>
      <c r="P5" s="844"/>
      <c r="Q5" s="844"/>
      <c r="R5" s="844"/>
    </row>
    <row r="6" spans="1:18" ht="12.75" customHeight="1">
      <c r="A6" s="239">
        <v>2008</v>
      </c>
      <c r="B6" s="273" t="s">
        <v>105</v>
      </c>
      <c r="C6" s="635">
        <v>1.4184000000000001</v>
      </c>
      <c r="D6" s="636">
        <v>2.8144</v>
      </c>
      <c r="E6" s="635"/>
      <c r="F6" s="637">
        <v>2.1053000000000002</v>
      </c>
      <c r="G6" s="638"/>
      <c r="H6" s="637">
        <v>43.83</v>
      </c>
      <c r="I6" s="639">
        <v>1.3328</v>
      </c>
      <c r="J6" s="637"/>
      <c r="K6" s="639">
        <v>1.4315</v>
      </c>
      <c r="L6" s="637">
        <v>2.8178000000000001</v>
      </c>
      <c r="M6" s="639"/>
      <c r="N6" s="637">
        <v>2.1053999999999999</v>
      </c>
      <c r="O6" s="638"/>
      <c r="P6" s="637">
        <v>43.79</v>
      </c>
      <c r="Q6" s="639">
        <v>1.3270999999999999</v>
      </c>
      <c r="R6" s="640"/>
    </row>
    <row r="7" spans="1:18" ht="12.75" customHeight="1">
      <c r="A7" s="239"/>
      <c r="B7" s="273" t="s">
        <v>106</v>
      </c>
      <c r="C7" s="641">
        <v>1.3929</v>
      </c>
      <c r="D7" s="642">
        <v>2.7692000000000001</v>
      </c>
      <c r="E7" s="641"/>
      <c r="F7" s="643">
        <v>2.1141000000000001</v>
      </c>
      <c r="G7" s="644"/>
      <c r="H7" s="643">
        <v>43.68</v>
      </c>
      <c r="I7" s="645">
        <v>1.3291999999999999</v>
      </c>
      <c r="J7" s="643"/>
      <c r="K7" s="645">
        <v>1.4108000000000001</v>
      </c>
      <c r="L7" s="643">
        <v>2.7728000000000002</v>
      </c>
      <c r="M7" s="645"/>
      <c r="N7" s="643">
        <v>2.0825</v>
      </c>
      <c r="O7" s="644"/>
      <c r="P7" s="643">
        <v>43.77</v>
      </c>
      <c r="Q7" s="645">
        <v>1.3160000000000001</v>
      </c>
      <c r="R7" s="646"/>
    </row>
    <row r="8" spans="1:18" ht="12.75" customHeight="1">
      <c r="A8" s="239"/>
      <c r="B8" s="273" t="s">
        <v>107</v>
      </c>
      <c r="C8" s="641">
        <v>1.3798999999999999</v>
      </c>
      <c r="D8" s="642">
        <v>2.7528999999999999</v>
      </c>
      <c r="E8" s="641"/>
      <c r="F8" s="643">
        <v>2.1806999999999999</v>
      </c>
      <c r="G8" s="644"/>
      <c r="H8" s="643">
        <v>43.26</v>
      </c>
      <c r="I8" s="645">
        <v>1.3814</v>
      </c>
      <c r="J8" s="643"/>
      <c r="K8" s="645">
        <v>1.3855</v>
      </c>
      <c r="L8" s="643">
        <v>2.7738999999999998</v>
      </c>
      <c r="M8" s="645"/>
      <c r="N8" s="643">
        <v>2.1501999999999999</v>
      </c>
      <c r="O8" s="644"/>
      <c r="P8" s="643">
        <v>43.48</v>
      </c>
      <c r="Q8" s="645">
        <v>1.3754999999999999</v>
      </c>
      <c r="R8" s="646"/>
    </row>
    <row r="9" spans="1:18" ht="12.75" customHeight="1">
      <c r="A9" s="239"/>
      <c r="B9" s="273" t="s">
        <v>108</v>
      </c>
      <c r="C9" s="641">
        <v>1.3619000000000001</v>
      </c>
      <c r="D9" s="642">
        <v>2.6812</v>
      </c>
      <c r="E9" s="641"/>
      <c r="F9" s="643">
        <v>2.1206</v>
      </c>
      <c r="G9" s="644"/>
      <c r="H9" s="643">
        <v>43.13</v>
      </c>
      <c r="I9" s="645">
        <v>1.3082</v>
      </c>
      <c r="J9" s="643"/>
      <c r="K9" s="645">
        <v>1.3644000000000001</v>
      </c>
      <c r="L9" s="643">
        <v>2.7029999999999998</v>
      </c>
      <c r="M9" s="645"/>
      <c r="N9" s="643">
        <v>2.1503999999999999</v>
      </c>
      <c r="O9" s="644"/>
      <c r="P9" s="643">
        <v>43.15</v>
      </c>
      <c r="Q9" s="645">
        <v>1.3308</v>
      </c>
      <c r="R9" s="646"/>
    </row>
    <row r="10" spans="1:18" ht="12.75" customHeight="1">
      <c r="A10" s="239"/>
      <c r="B10" s="273" t="s">
        <v>109</v>
      </c>
      <c r="C10" s="641">
        <v>1.3651</v>
      </c>
      <c r="D10" s="642">
        <v>2.6977000000000002</v>
      </c>
      <c r="E10" s="641"/>
      <c r="F10" s="643">
        <v>2.1183999999999998</v>
      </c>
      <c r="G10" s="644"/>
      <c r="H10" s="643">
        <v>42.09</v>
      </c>
      <c r="I10" s="645">
        <v>1.2944</v>
      </c>
      <c r="J10" s="643"/>
      <c r="K10" s="645">
        <v>1.3665</v>
      </c>
      <c r="L10" s="643">
        <v>2.6854</v>
      </c>
      <c r="M10" s="645"/>
      <c r="N10" s="643">
        <v>2.1255000000000002</v>
      </c>
      <c r="O10" s="644"/>
      <c r="P10" s="643">
        <v>42.47</v>
      </c>
      <c r="Q10" s="645">
        <v>1.3112999999999999</v>
      </c>
      <c r="R10" s="646"/>
    </row>
    <row r="11" spans="1:18" ht="12.75" customHeight="1">
      <c r="A11" s="239"/>
      <c r="B11" s="273" t="s">
        <v>110</v>
      </c>
      <c r="C11" s="641">
        <v>1.3615999999999999</v>
      </c>
      <c r="D11" s="642">
        <v>2.7141999999999999</v>
      </c>
      <c r="E11" s="641"/>
      <c r="F11" s="643">
        <v>2.1493000000000002</v>
      </c>
      <c r="G11" s="644"/>
      <c r="H11" s="643">
        <v>41.68</v>
      </c>
      <c r="I11" s="645">
        <v>1.2819</v>
      </c>
      <c r="J11" s="643"/>
      <c r="K11" s="645">
        <v>1.3675999999999999</v>
      </c>
      <c r="L11" s="643">
        <v>2.6880000000000002</v>
      </c>
      <c r="M11" s="645"/>
      <c r="N11" s="643">
        <v>2.1276999999999999</v>
      </c>
      <c r="O11" s="644"/>
      <c r="P11" s="643">
        <v>41.97</v>
      </c>
      <c r="Q11" s="645">
        <v>1.2793000000000001</v>
      </c>
      <c r="R11" s="646"/>
    </row>
    <row r="12" spans="1:18" ht="12.75" customHeight="1">
      <c r="A12" s="239"/>
      <c r="B12" s="273" t="s">
        <v>111</v>
      </c>
      <c r="C12" s="641">
        <v>1.3675999999999999</v>
      </c>
      <c r="D12" s="642">
        <v>2.7094</v>
      </c>
      <c r="E12" s="641"/>
      <c r="F12" s="643">
        <v>2.1318000000000001</v>
      </c>
      <c r="G12" s="644"/>
      <c r="H12" s="643">
        <v>41.92</v>
      </c>
      <c r="I12" s="645">
        <v>1.2664</v>
      </c>
      <c r="J12" s="643"/>
      <c r="K12" s="645">
        <v>1.3588</v>
      </c>
      <c r="L12" s="643">
        <v>2.7027999999999999</v>
      </c>
      <c r="M12" s="645"/>
      <c r="N12" s="643">
        <v>2.1431</v>
      </c>
      <c r="O12" s="644"/>
      <c r="P12" s="643">
        <v>41.81</v>
      </c>
      <c r="Q12" s="645">
        <v>1.2732000000000001</v>
      </c>
      <c r="R12" s="646"/>
    </row>
    <row r="13" spans="1:18" ht="12.75" customHeight="1">
      <c r="A13" s="239"/>
      <c r="B13" s="273" t="s">
        <v>112</v>
      </c>
      <c r="C13" s="641">
        <v>1.4159999999999999</v>
      </c>
      <c r="D13" s="642">
        <v>2.5933000000000002</v>
      </c>
      <c r="E13" s="641"/>
      <c r="F13" s="643">
        <v>2.0876000000000001</v>
      </c>
      <c r="G13" s="644"/>
      <c r="H13" s="643">
        <v>41.75</v>
      </c>
      <c r="I13" s="645">
        <v>1.2978000000000001</v>
      </c>
      <c r="J13" s="643"/>
      <c r="K13" s="645">
        <v>1.4029</v>
      </c>
      <c r="L13" s="643">
        <v>2.6549999999999998</v>
      </c>
      <c r="M13" s="645"/>
      <c r="N13" s="643">
        <v>2.1029</v>
      </c>
      <c r="O13" s="644"/>
      <c r="P13" s="643">
        <v>42.16</v>
      </c>
      <c r="Q13" s="645">
        <v>1.2838000000000001</v>
      </c>
      <c r="R13" s="646"/>
    </row>
    <row r="14" spans="1:18" ht="12.75" customHeight="1">
      <c r="A14" s="239"/>
      <c r="B14" s="273" t="s">
        <v>113</v>
      </c>
      <c r="C14" s="641">
        <v>1.4314</v>
      </c>
      <c r="D14" s="642">
        <v>2.5775000000000001</v>
      </c>
      <c r="E14" s="641"/>
      <c r="F14" s="643">
        <v>2.0558000000000001</v>
      </c>
      <c r="G14" s="644"/>
      <c r="H14" s="643">
        <v>41.4</v>
      </c>
      <c r="I14" s="645">
        <v>1.3732</v>
      </c>
      <c r="J14" s="643"/>
      <c r="K14" s="645">
        <v>1.4287000000000001</v>
      </c>
      <c r="L14" s="643">
        <v>2.5716999999999999</v>
      </c>
      <c r="M14" s="645"/>
      <c r="N14" s="643">
        <v>2.0564</v>
      </c>
      <c r="O14" s="644"/>
      <c r="P14" s="643">
        <v>41.53</v>
      </c>
      <c r="Q14" s="645">
        <v>1.3403</v>
      </c>
      <c r="R14" s="646"/>
    </row>
    <row r="15" spans="1:18" ht="12.75" customHeight="1">
      <c r="A15" s="239"/>
      <c r="B15" s="273" t="s">
        <v>114</v>
      </c>
      <c r="C15" s="641">
        <v>1.4806999999999999</v>
      </c>
      <c r="D15" s="642">
        <v>2.4249000000000001</v>
      </c>
      <c r="E15" s="641"/>
      <c r="F15" s="643">
        <v>1.9016999999999999</v>
      </c>
      <c r="G15" s="644"/>
      <c r="H15" s="643">
        <v>41.56</v>
      </c>
      <c r="I15" s="645">
        <v>1.5028999999999999</v>
      </c>
      <c r="J15" s="643"/>
      <c r="K15" s="645">
        <v>1.4762999999999999</v>
      </c>
      <c r="L15" s="643">
        <v>2.5066000000000002</v>
      </c>
      <c r="M15" s="645"/>
      <c r="N15" s="643">
        <v>1.9678</v>
      </c>
      <c r="O15" s="644"/>
      <c r="P15" s="643">
        <v>41.9</v>
      </c>
      <c r="Q15" s="645">
        <v>1.4731000000000001</v>
      </c>
      <c r="R15" s="646"/>
    </row>
    <row r="16" spans="1:18" ht="12.75" customHeight="1">
      <c r="A16" s="239"/>
      <c r="B16" s="273" t="s">
        <v>115</v>
      </c>
      <c r="C16" s="641">
        <v>1.5072000000000001</v>
      </c>
      <c r="D16" s="642">
        <v>2.3201999999999998</v>
      </c>
      <c r="E16" s="641"/>
      <c r="F16" s="643">
        <v>1.9440999999999999</v>
      </c>
      <c r="G16" s="644"/>
      <c r="H16" s="643">
        <v>41.66</v>
      </c>
      <c r="I16" s="645">
        <v>1.5818000000000001</v>
      </c>
      <c r="J16" s="643"/>
      <c r="K16" s="645">
        <v>1.5066999999999999</v>
      </c>
      <c r="L16" s="643">
        <v>2.3098999999999998</v>
      </c>
      <c r="M16" s="645"/>
      <c r="N16" s="643">
        <v>1.9166000000000001</v>
      </c>
      <c r="O16" s="644"/>
      <c r="P16" s="643">
        <v>42</v>
      </c>
      <c r="Q16" s="645">
        <v>1.5550999999999999</v>
      </c>
      <c r="R16" s="646"/>
    </row>
    <row r="17" spans="1:18" ht="12.75" customHeight="1">
      <c r="A17" s="240"/>
      <c r="B17" s="274" t="s">
        <v>116</v>
      </c>
      <c r="C17" s="647">
        <v>1.4392</v>
      </c>
      <c r="D17" s="648">
        <v>2.0769000000000002</v>
      </c>
      <c r="E17" s="647"/>
      <c r="F17" s="649">
        <v>2.0257999999999998</v>
      </c>
      <c r="G17" s="650"/>
      <c r="H17" s="649">
        <v>41.55</v>
      </c>
      <c r="I17" s="651">
        <v>1.5924</v>
      </c>
      <c r="J17" s="649"/>
      <c r="K17" s="651">
        <v>1.4778</v>
      </c>
      <c r="L17" s="649">
        <v>2.2079</v>
      </c>
      <c r="M17" s="651"/>
      <c r="N17" s="649">
        <v>1.9972000000000001</v>
      </c>
      <c r="O17" s="650"/>
      <c r="P17" s="649">
        <v>41.65</v>
      </c>
      <c r="Q17" s="651">
        <v>1.6197999999999999</v>
      </c>
      <c r="R17" s="652"/>
    </row>
    <row r="18" spans="1:18" ht="12.75" customHeight="1">
      <c r="A18" s="239">
        <v>2009</v>
      </c>
      <c r="B18" s="273" t="s">
        <v>105</v>
      </c>
      <c r="C18" s="635">
        <v>1.5082</v>
      </c>
      <c r="D18" s="636">
        <v>2.141</v>
      </c>
      <c r="E18" s="635"/>
      <c r="F18" s="637">
        <v>1.9447000000000001</v>
      </c>
      <c r="G18" s="638"/>
      <c r="H18" s="637">
        <v>41.79</v>
      </c>
      <c r="I18" s="639">
        <v>1.6879</v>
      </c>
      <c r="J18" s="637"/>
      <c r="K18" s="639">
        <v>1.488</v>
      </c>
      <c r="L18" s="637">
        <v>2.1629999999999998</v>
      </c>
      <c r="M18" s="639"/>
      <c r="N18" s="637">
        <v>1.982</v>
      </c>
      <c r="O18" s="638"/>
      <c r="P18" s="637">
        <v>41.73</v>
      </c>
      <c r="Q18" s="639">
        <v>1.6443000000000001</v>
      </c>
      <c r="R18" s="640"/>
    </row>
    <row r="19" spans="1:18" ht="12.75" customHeight="1">
      <c r="A19" s="239"/>
      <c r="B19" s="273" t="s">
        <v>106</v>
      </c>
      <c r="C19" s="641">
        <v>1.5411999999999999</v>
      </c>
      <c r="D19" s="642">
        <v>2.1998000000000002</v>
      </c>
      <c r="E19" s="641"/>
      <c r="F19" s="643">
        <v>1.9599</v>
      </c>
      <c r="G19" s="644"/>
      <c r="H19" s="643">
        <v>41.74</v>
      </c>
      <c r="I19" s="645">
        <v>1.5803</v>
      </c>
      <c r="J19" s="643"/>
      <c r="K19" s="645">
        <v>1.5178</v>
      </c>
      <c r="L19" s="643">
        <v>2.1867999999999999</v>
      </c>
      <c r="M19" s="645"/>
      <c r="N19" s="643">
        <v>1.9415</v>
      </c>
      <c r="O19" s="644"/>
      <c r="P19" s="643">
        <v>41.75</v>
      </c>
      <c r="Q19" s="645">
        <v>1.6432</v>
      </c>
      <c r="R19" s="646"/>
    </row>
    <row r="20" spans="1:18" ht="12.75" customHeight="1">
      <c r="A20" s="239"/>
      <c r="B20" s="273" t="s">
        <v>107</v>
      </c>
      <c r="C20" s="641">
        <v>1.5194000000000001</v>
      </c>
      <c r="D20" s="642">
        <v>2.1770999999999998</v>
      </c>
      <c r="E20" s="641"/>
      <c r="F20" s="643">
        <v>2.0152999999999999</v>
      </c>
      <c r="G20" s="644"/>
      <c r="H20" s="643">
        <v>41.66</v>
      </c>
      <c r="I20" s="645">
        <v>1.5449999999999999</v>
      </c>
      <c r="J20" s="643"/>
      <c r="K20" s="645">
        <v>1.5303</v>
      </c>
      <c r="L20" s="643">
        <v>2.1739000000000002</v>
      </c>
      <c r="M20" s="645"/>
      <c r="N20" s="643">
        <v>1.9973000000000001</v>
      </c>
      <c r="O20" s="644"/>
      <c r="P20" s="643">
        <v>41.64</v>
      </c>
      <c r="Q20" s="645">
        <v>1.5659000000000001</v>
      </c>
      <c r="R20" s="646"/>
    </row>
    <row r="21" spans="1:18" ht="12.75" customHeight="1">
      <c r="A21" s="239"/>
      <c r="B21" s="273" t="s">
        <v>108</v>
      </c>
      <c r="C21" s="641">
        <v>1.4787999999999999</v>
      </c>
      <c r="D21" s="642">
        <v>2.1924999999999999</v>
      </c>
      <c r="E21" s="641"/>
      <c r="F21" s="643">
        <v>1.9690000000000001</v>
      </c>
      <c r="G21" s="644"/>
      <c r="H21" s="643">
        <v>41.55</v>
      </c>
      <c r="I21" s="645">
        <v>1.5186999999999999</v>
      </c>
      <c r="J21" s="643"/>
      <c r="K21" s="645">
        <v>1.5044999999999999</v>
      </c>
      <c r="L21" s="643">
        <v>2.2107999999999999</v>
      </c>
      <c r="M21" s="645"/>
      <c r="N21" s="643">
        <v>1.9853000000000001</v>
      </c>
      <c r="O21" s="644"/>
      <c r="P21" s="643">
        <v>41.68</v>
      </c>
      <c r="Q21" s="645">
        <v>1.5244</v>
      </c>
      <c r="R21" s="646"/>
    </row>
    <row r="22" spans="1:18" ht="12.75" customHeight="1">
      <c r="A22" s="239"/>
      <c r="B22" s="273" t="s">
        <v>109</v>
      </c>
      <c r="C22" s="641">
        <v>1.4504999999999999</v>
      </c>
      <c r="D22" s="642">
        <v>2.3153000000000001</v>
      </c>
      <c r="E22" s="641"/>
      <c r="F22" s="643">
        <v>2.0284</v>
      </c>
      <c r="G22" s="644"/>
      <c r="H22" s="643">
        <v>41.35</v>
      </c>
      <c r="I22" s="645">
        <v>1.5058</v>
      </c>
      <c r="J22" s="643"/>
      <c r="K22" s="645">
        <v>1.4616</v>
      </c>
      <c r="L22" s="643">
        <v>2.2526999999999999</v>
      </c>
      <c r="M22" s="645"/>
      <c r="N22" s="643">
        <v>1.9936</v>
      </c>
      <c r="O22" s="644"/>
      <c r="P22" s="643">
        <v>41.49</v>
      </c>
      <c r="Q22" s="645">
        <v>1.5149999999999999</v>
      </c>
      <c r="R22" s="646"/>
    </row>
    <row r="23" spans="1:18" ht="12.75" customHeight="1">
      <c r="A23" s="239"/>
      <c r="B23" s="273" t="s">
        <v>110</v>
      </c>
      <c r="C23" s="641">
        <v>1.4498</v>
      </c>
      <c r="D23" s="642">
        <v>2.4129</v>
      </c>
      <c r="E23" s="641"/>
      <c r="F23" s="643">
        <v>2.0464000000000002</v>
      </c>
      <c r="G23" s="644"/>
      <c r="H23" s="643">
        <v>41.16</v>
      </c>
      <c r="I23" s="645">
        <v>1.5115000000000001</v>
      </c>
      <c r="J23" s="643"/>
      <c r="K23" s="645">
        <v>1.4522999999999999</v>
      </c>
      <c r="L23" s="643">
        <v>2.3757999999999999</v>
      </c>
      <c r="M23" s="645"/>
      <c r="N23" s="643">
        <v>2.0367999999999999</v>
      </c>
      <c r="O23" s="644"/>
      <c r="P23" s="643">
        <v>41.28</v>
      </c>
      <c r="Q23" s="645">
        <v>1.5046999999999999</v>
      </c>
      <c r="R23" s="646"/>
    </row>
    <row r="24" spans="1:18" ht="12.75" customHeight="1">
      <c r="A24" s="239"/>
      <c r="B24" s="273" t="s">
        <v>111</v>
      </c>
      <c r="C24" s="641">
        <v>1.4408000000000001</v>
      </c>
      <c r="D24" s="642">
        <v>2.3815</v>
      </c>
      <c r="E24" s="641"/>
      <c r="F24" s="643">
        <v>2.0360999999999998</v>
      </c>
      <c r="G24" s="644"/>
      <c r="H24" s="643">
        <v>40.94</v>
      </c>
      <c r="I24" s="645">
        <v>1.5114000000000001</v>
      </c>
      <c r="J24" s="643"/>
      <c r="K24" s="645">
        <v>1.4500999999999999</v>
      </c>
      <c r="L24" s="643">
        <v>2.3730000000000002</v>
      </c>
      <c r="M24" s="645"/>
      <c r="N24" s="643">
        <v>2.0409999999999999</v>
      </c>
      <c r="O24" s="644"/>
      <c r="P24" s="643">
        <v>40.880000000000003</v>
      </c>
      <c r="Q24" s="645">
        <v>1.5351999999999999</v>
      </c>
      <c r="R24" s="646"/>
    </row>
    <row r="25" spans="1:18" ht="12.75" customHeight="1">
      <c r="A25" s="239"/>
      <c r="B25" s="273" t="s">
        <v>112</v>
      </c>
      <c r="C25" s="641">
        <v>1.4419</v>
      </c>
      <c r="D25" s="642">
        <v>2.3409</v>
      </c>
      <c r="E25" s="641"/>
      <c r="F25" s="643">
        <v>2.06</v>
      </c>
      <c r="G25" s="644"/>
      <c r="H25" s="643">
        <v>40.950000000000003</v>
      </c>
      <c r="I25" s="645">
        <v>1.556</v>
      </c>
      <c r="J25" s="643"/>
      <c r="K25" s="645">
        <v>1.4420999999999999</v>
      </c>
      <c r="L25" s="643">
        <v>2.3845000000000001</v>
      </c>
      <c r="M25" s="653"/>
      <c r="N25" s="643">
        <v>2.0568</v>
      </c>
      <c r="O25" s="644"/>
      <c r="P25" s="643">
        <v>40.98</v>
      </c>
      <c r="Q25" s="645">
        <v>1.5229999999999999</v>
      </c>
      <c r="R25" s="646"/>
    </row>
    <row r="26" spans="1:18" ht="12.75" customHeight="1">
      <c r="A26" s="239"/>
      <c r="B26" s="273" t="s">
        <v>113</v>
      </c>
      <c r="C26" s="641">
        <v>1.4140999999999999</v>
      </c>
      <c r="D26" s="642">
        <v>2.2662</v>
      </c>
      <c r="E26" s="641"/>
      <c r="F26" s="643">
        <v>2.0674000000000001</v>
      </c>
      <c r="G26" s="644"/>
      <c r="H26" s="643">
        <v>40.69</v>
      </c>
      <c r="I26" s="645">
        <v>1.5751999999999999</v>
      </c>
      <c r="J26" s="643"/>
      <c r="K26" s="645">
        <v>1.4242999999999999</v>
      </c>
      <c r="L26" s="643">
        <v>2.3252000000000002</v>
      </c>
      <c r="M26" s="645"/>
      <c r="N26" s="643">
        <v>2.0716000000000001</v>
      </c>
      <c r="O26" s="644"/>
      <c r="P26" s="643">
        <v>40.74</v>
      </c>
      <c r="Q26" s="645">
        <v>1.5573999999999999</v>
      </c>
      <c r="R26" s="646"/>
    </row>
    <row r="27" spans="1:18" ht="12.75" customHeight="1">
      <c r="A27" s="239"/>
      <c r="B27" s="273" t="s">
        <v>114</v>
      </c>
      <c r="C27" s="641">
        <v>1.3968</v>
      </c>
      <c r="D27" s="642">
        <v>2.3153000000000001</v>
      </c>
      <c r="E27" s="641"/>
      <c r="F27" s="643">
        <v>2.0752000000000002</v>
      </c>
      <c r="G27" s="644"/>
      <c r="H27" s="643">
        <v>41</v>
      </c>
      <c r="I27" s="645">
        <v>1.5298</v>
      </c>
      <c r="J27" s="643"/>
      <c r="K27" s="645">
        <v>1.3979999999999999</v>
      </c>
      <c r="L27" s="643">
        <v>2.2623000000000002</v>
      </c>
      <c r="M27" s="645"/>
      <c r="N27" s="643">
        <v>2.0718999999999999</v>
      </c>
      <c r="O27" s="644"/>
      <c r="P27" s="643">
        <v>41.08</v>
      </c>
      <c r="Q27" s="645">
        <v>1.5497000000000001</v>
      </c>
      <c r="R27" s="646"/>
    </row>
    <row r="28" spans="1:18" ht="12.75" customHeight="1">
      <c r="A28" s="239"/>
      <c r="B28" s="273" t="s">
        <v>115</v>
      </c>
      <c r="C28" s="641">
        <v>1.3828</v>
      </c>
      <c r="D28" s="642">
        <v>2.2925</v>
      </c>
      <c r="E28" s="641"/>
      <c r="F28" s="643">
        <v>2.0829</v>
      </c>
      <c r="G28" s="644"/>
      <c r="H28" s="643">
        <v>40.82</v>
      </c>
      <c r="I28" s="645">
        <v>1.5949</v>
      </c>
      <c r="J28" s="643"/>
      <c r="K28" s="645">
        <v>1.3891</v>
      </c>
      <c r="L28" s="643">
        <v>2.3086000000000002</v>
      </c>
      <c r="M28" s="645"/>
      <c r="N28" s="643">
        <v>2.0724999999999998</v>
      </c>
      <c r="O28" s="644"/>
      <c r="P28" s="643">
        <v>40.98</v>
      </c>
      <c r="Q28" s="645">
        <v>1.5548</v>
      </c>
      <c r="R28" s="646"/>
    </row>
    <row r="29" spans="1:18" ht="12.75" customHeight="1">
      <c r="A29" s="240"/>
      <c r="B29" s="274" t="s">
        <v>116</v>
      </c>
      <c r="C29" s="647">
        <v>1.4034</v>
      </c>
      <c r="D29" s="648">
        <v>2.2541000000000002</v>
      </c>
      <c r="E29" s="647"/>
      <c r="F29" s="649">
        <v>2.0163000000000002</v>
      </c>
      <c r="G29" s="650"/>
      <c r="H29" s="649">
        <v>40.97</v>
      </c>
      <c r="I29" s="651">
        <v>1.5194000000000001</v>
      </c>
      <c r="J29" s="649"/>
      <c r="K29" s="651">
        <v>1.3960999999999999</v>
      </c>
      <c r="L29" s="649">
        <v>2.2675999999999998</v>
      </c>
      <c r="M29" s="651"/>
      <c r="N29" s="649">
        <v>2.0398999999999998</v>
      </c>
      <c r="O29" s="650"/>
      <c r="P29" s="649">
        <v>40.909999999999997</v>
      </c>
      <c r="Q29" s="651">
        <v>1.5568</v>
      </c>
      <c r="R29" s="652"/>
    </row>
    <row r="30" spans="1:18" ht="12.75" customHeight="1">
      <c r="A30" s="239">
        <v>2010</v>
      </c>
      <c r="B30" s="273" t="s">
        <v>105</v>
      </c>
      <c r="C30" s="635">
        <v>1.4071</v>
      </c>
      <c r="D30" s="636">
        <v>2.2484999999999999</v>
      </c>
      <c r="E30" s="635">
        <v>1.2430000000000001</v>
      </c>
      <c r="F30" s="637">
        <v>1.9505999999999999</v>
      </c>
      <c r="G30" s="639">
        <v>18.12</v>
      </c>
      <c r="H30" s="637">
        <v>41.2</v>
      </c>
      <c r="I30" s="639">
        <v>1.5582</v>
      </c>
      <c r="J30" s="637">
        <v>4.24</v>
      </c>
      <c r="K30" s="639">
        <v>1.3975000000000002</v>
      </c>
      <c r="L30" s="637">
        <v>2.2578999999999998</v>
      </c>
      <c r="M30" s="639">
        <v>1.2742</v>
      </c>
      <c r="N30" s="637">
        <v>1.9942</v>
      </c>
      <c r="O30" s="639">
        <v>18</v>
      </c>
      <c r="P30" s="637">
        <v>41.37</v>
      </c>
      <c r="Q30" s="639">
        <v>1.532</v>
      </c>
      <c r="R30" s="640">
        <v>4.2300000000000004</v>
      </c>
    </row>
    <row r="31" spans="1:18" ht="12.75" customHeight="1">
      <c r="A31" s="239"/>
      <c r="B31" s="273" t="s">
        <v>106</v>
      </c>
      <c r="C31" s="641">
        <v>1.4063000000000001</v>
      </c>
      <c r="D31" s="642">
        <v>2.1425999999999998</v>
      </c>
      <c r="E31" s="641">
        <v>1.2593000000000001</v>
      </c>
      <c r="F31" s="643">
        <v>1.9171</v>
      </c>
      <c r="G31" s="645">
        <v>18.12</v>
      </c>
      <c r="H31" s="643">
        <v>41.4</v>
      </c>
      <c r="I31" s="645">
        <v>1.5811999999999999</v>
      </c>
      <c r="J31" s="643">
        <v>4.25</v>
      </c>
      <c r="K31" s="645">
        <v>1.41265</v>
      </c>
      <c r="L31" s="643">
        <v>2.2069000000000001</v>
      </c>
      <c r="M31" s="645">
        <v>1.2531000000000001</v>
      </c>
      <c r="N31" s="643">
        <v>1.9326000000000001</v>
      </c>
      <c r="O31" s="645">
        <v>18.190000000000001</v>
      </c>
      <c r="P31" s="643">
        <v>41.35</v>
      </c>
      <c r="Q31" s="645">
        <v>1.5669999999999999</v>
      </c>
      <c r="R31" s="646">
        <v>4.26</v>
      </c>
    </row>
    <row r="32" spans="1:18" ht="12.75" customHeight="1">
      <c r="A32" s="239"/>
      <c r="B32" s="273" t="s">
        <v>107</v>
      </c>
      <c r="C32" s="641">
        <v>1.399</v>
      </c>
      <c r="D32" s="642">
        <v>2.1240999999999999</v>
      </c>
      <c r="E32" s="641">
        <v>1.2831999999999999</v>
      </c>
      <c r="F32" s="643">
        <v>1.89</v>
      </c>
      <c r="G32" s="645">
        <v>18.02</v>
      </c>
      <c r="H32" s="643">
        <v>42.89</v>
      </c>
      <c r="I32" s="645">
        <v>1.4968999999999999</v>
      </c>
      <c r="J32" s="643">
        <v>4.33</v>
      </c>
      <c r="K32" s="645">
        <v>1.3999782608695654</v>
      </c>
      <c r="L32" s="643">
        <v>2.1082999999999998</v>
      </c>
      <c r="M32" s="645">
        <v>1.2776000000000001</v>
      </c>
      <c r="N32" s="643">
        <v>1.9000999999999999</v>
      </c>
      <c r="O32" s="645">
        <v>18.04</v>
      </c>
      <c r="P32" s="643">
        <v>42.16</v>
      </c>
      <c r="Q32" s="645">
        <v>1.5434000000000001</v>
      </c>
      <c r="R32" s="646">
        <v>4.3099999999999996</v>
      </c>
    </row>
    <row r="33" spans="1:18" ht="12.75" customHeight="1">
      <c r="A33" s="239"/>
      <c r="B33" s="273" t="s">
        <v>108</v>
      </c>
      <c r="C33" s="641">
        <v>1.3706</v>
      </c>
      <c r="D33" s="642">
        <v>2.0933000000000002</v>
      </c>
      <c r="E33" s="641">
        <v>1.2668999999999999</v>
      </c>
      <c r="F33" s="643">
        <v>1.8224</v>
      </c>
      <c r="G33" s="645">
        <v>17.649999999999999</v>
      </c>
      <c r="H33" s="643">
        <v>42.97</v>
      </c>
      <c r="I33" s="645">
        <v>1.4601999999999999</v>
      </c>
      <c r="J33" s="643">
        <v>4.25</v>
      </c>
      <c r="K33" s="645">
        <v>1.3819227272727272</v>
      </c>
      <c r="L33" s="643">
        <v>2.1194000000000002</v>
      </c>
      <c r="M33" s="645">
        <v>1.2806</v>
      </c>
      <c r="N33" s="643">
        <v>1.8555999999999999</v>
      </c>
      <c r="O33" s="645">
        <v>17.8</v>
      </c>
      <c r="P33" s="643">
        <v>43.1</v>
      </c>
      <c r="Q33" s="645">
        <v>1.4782</v>
      </c>
      <c r="R33" s="646">
        <v>4.28</v>
      </c>
    </row>
    <row r="34" spans="1:18" ht="12.75" customHeight="1">
      <c r="A34" s="239"/>
      <c r="B34" s="273" t="s">
        <v>109</v>
      </c>
      <c r="C34" s="641">
        <v>1.3993</v>
      </c>
      <c r="D34" s="642">
        <v>2.0344000000000002</v>
      </c>
      <c r="E34" s="641">
        <v>1.1840999999999999</v>
      </c>
      <c r="F34" s="643">
        <v>1.7217</v>
      </c>
      <c r="G34" s="645">
        <v>17.97</v>
      </c>
      <c r="H34" s="643">
        <v>42.88</v>
      </c>
      <c r="I34" s="645">
        <v>1.5337000000000001</v>
      </c>
      <c r="J34" s="643">
        <v>4.3</v>
      </c>
      <c r="K34" s="645">
        <v>1.3947904761904764</v>
      </c>
      <c r="L34" s="643">
        <v>2.0440999999999998</v>
      </c>
      <c r="M34" s="645">
        <v>1.2115</v>
      </c>
      <c r="N34" s="643">
        <v>1.748</v>
      </c>
      <c r="O34" s="645">
        <v>17.91</v>
      </c>
      <c r="P34" s="643">
        <v>42.85</v>
      </c>
      <c r="Q34" s="645">
        <v>1.5185999999999999</v>
      </c>
      <c r="R34" s="646">
        <v>4.3</v>
      </c>
    </row>
    <row r="35" spans="1:18" ht="12.75" customHeight="1">
      <c r="A35" s="239"/>
      <c r="B35" s="273" t="s">
        <v>110</v>
      </c>
      <c r="C35" s="641">
        <v>1.3995</v>
      </c>
      <c r="D35" s="642">
        <v>2.0914000000000001</v>
      </c>
      <c r="E35" s="641">
        <v>1.1766000000000001</v>
      </c>
      <c r="F35" s="643">
        <v>1.7124999999999999</v>
      </c>
      <c r="G35" s="645">
        <v>17.97</v>
      </c>
      <c r="H35" s="643">
        <v>43.39</v>
      </c>
      <c r="I35" s="645">
        <v>1.5825</v>
      </c>
      <c r="J35" s="643">
        <v>4.32</v>
      </c>
      <c r="K35" s="645">
        <v>1.3984045454545453</v>
      </c>
      <c r="L35" s="643">
        <v>2.0636999999999999</v>
      </c>
      <c r="M35" s="645">
        <v>1.1923999999999999</v>
      </c>
      <c r="N35" s="643">
        <v>1.7075</v>
      </c>
      <c r="O35" s="645">
        <v>17.96</v>
      </c>
      <c r="P35" s="643">
        <v>42.83</v>
      </c>
      <c r="Q35" s="645">
        <v>1.5402</v>
      </c>
      <c r="R35" s="646">
        <v>4.3099999999999996</v>
      </c>
    </row>
    <row r="36" spans="1:18" ht="12.75" customHeight="1">
      <c r="A36" s="239"/>
      <c r="B36" s="273" t="s">
        <v>111</v>
      </c>
      <c r="C36" s="641">
        <v>1.3602000000000001</v>
      </c>
      <c r="D36" s="642">
        <v>2.1349</v>
      </c>
      <c r="E36" s="641">
        <v>1.2302</v>
      </c>
      <c r="F36" s="643">
        <v>1.7753000000000001</v>
      </c>
      <c r="G36" s="645">
        <v>17.510000000000002</v>
      </c>
      <c r="H36" s="643">
        <v>42.69</v>
      </c>
      <c r="I36" s="645">
        <v>1.5731999999999999</v>
      </c>
      <c r="J36" s="643">
        <v>4.22</v>
      </c>
      <c r="K36" s="645">
        <v>1.3763227272727272</v>
      </c>
      <c r="L36" s="643">
        <v>2.1057999999999999</v>
      </c>
      <c r="M36" s="645">
        <v>1.2081999999999999</v>
      </c>
      <c r="N36" s="643">
        <v>1.762</v>
      </c>
      <c r="O36" s="645">
        <v>17.7</v>
      </c>
      <c r="P36" s="643">
        <v>42.94</v>
      </c>
      <c r="Q36" s="645">
        <v>1.5719000000000001</v>
      </c>
      <c r="R36" s="646">
        <v>4.26</v>
      </c>
    </row>
    <row r="37" spans="1:18" ht="12.75" customHeight="1">
      <c r="A37" s="239"/>
      <c r="B37" s="273" t="s">
        <v>112</v>
      </c>
      <c r="C37" s="641">
        <v>1.3559000000000001</v>
      </c>
      <c r="D37" s="642">
        <v>2.081</v>
      </c>
      <c r="E37" s="641">
        <v>1.2077</v>
      </c>
      <c r="F37" s="643">
        <v>1.7191000000000001</v>
      </c>
      <c r="G37" s="645">
        <v>17.43</v>
      </c>
      <c r="H37" s="643">
        <v>43.11</v>
      </c>
      <c r="I37" s="645">
        <v>1.6106</v>
      </c>
      <c r="J37" s="643">
        <v>4.34</v>
      </c>
      <c r="K37" s="645">
        <v>1.3554909090909093</v>
      </c>
      <c r="L37" s="643">
        <v>2.1215999999999999</v>
      </c>
      <c r="M37" s="645">
        <v>1.2202999999999999</v>
      </c>
      <c r="N37" s="643">
        <v>1.7481</v>
      </c>
      <c r="O37" s="645">
        <v>17.440000000000001</v>
      </c>
      <c r="P37" s="643">
        <v>42.99</v>
      </c>
      <c r="Q37" s="645">
        <v>1.5878000000000001</v>
      </c>
      <c r="R37" s="646">
        <v>4.2699999999999996</v>
      </c>
    </row>
    <row r="38" spans="1:18" ht="12.75" customHeight="1">
      <c r="A38" s="239"/>
      <c r="B38" s="273" t="s">
        <v>113</v>
      </c>
      <c r="C38" s="641">
        <v>1.3164</v>
      </c>
      <c r="D38" s="642">
        <v>2.0684999999999998</v>
      </c>
      <c r="E38" s="641">
        <v>1.2728999999999999</v>
      </c>
      <c r="F38" s="643">
        <v>1.7947</v>
      </c>
      <c r="G38" s="645">
        <v>16.96</v>
      </c>
      <c r="H38" s="643">
        <v>42.68</v>
      </c>
      <c r="I38" s="645">
        <v>1.5760000000000001</v>
      </c>
      <c r="J38" s="643">
        <v>4.34</v>
      </c>
      <c r="K38" s="645">
        <v>1.3340909090909092</v>
      </c>
      <c r="L38" s="643">
        <v>2.0775000000000001</v>
      </c>
      <c r="M38" s="645">
        <v>1.2522</v>
      </c>
      <c r="N38" s="643">
        <v>1.7463</v>
      </c>
      <c r="O38" s="645">
        <v>17.18</v>
      </c>
      <c r="P38" s="643">
        <v>42.98</v>
      </c>
      <c r="Q38" s="645">
        <v>1.5810999999999999</v>
      </c>
      <c r="R38" s="646">
        <v>4.33</v>
      </c>
    </row>
    <row r="39" spans="1:18" ht="12.75" customHeight="1">
      <c r="A39" s="239"/>
      <c r="B39" s="273" t="s">
        <v>114</v>
      </c>
      <c r="C39" s="641">
        <v>1.2939000000000001</v>
      </c>
      <c r="D39" s="642">
        <v>2.0748000000000002</v>
      </c>
      <c r="E39" s="641">
        <v>1.2725</v>
      </c>
      <c r="F39" s="643">
        <v>1.8043</v>
      </c>
      <c r="G39" s="645">
        <v>16.690000000000001</v>
      </c>
      <c r="H39" s="643">
        <v>41.71</v>
      </c>
      <c r="I39" s="645">
        <v>1.6095999999999999</v>
      </c>
      <c r="J39" s="643">
        <v>4.33</v>
      </c>
      <c r="K39" s="645">
        <v>1.3028428571428574</v>
      </c>
      <c r="L39" s="643">
        <v>2.0657999999999999</v>
      </c>
      <c r="M39" s="645">
        <v>1.2789999999999999</v>
      </c>
      <c r="N39" s="643">
        <v>1.8109</v>
      </c>
      <c r="O39" s="645">
        <v>16.79</v>
      </c>
      <c r="P39" s="643">
        <v>42.03</v>
      </c>
      <c r="Q39" s="645">
        <v>1.5929</v>
      </c>
      <c r="R39" s="646">
        <v>4.3499999999999996</v>
      </c>
    </row>
    <row r="40" spans="1:18" ht="12.75" customHeight="1">
      <c r="A40" s="239"/>
      <c r="B40" s="273" t="s">
        <v>115</v>
      </c>
      <c r="C40" s="641">
        <v>1.3204</v>
      </c>
      <c r="D40" s="642">
        <v>2.0545</v>
      </c>
      <c r="E40" s="641">
        <v>1.2659</v>
      </c>
      <c r="F40" s="643">
        <v>1.714</v>
      </c>
      <c r="G40" s="645">
        <v>17</v>
      </c>
      <c r="H40" s="643">
        <v>41.65</v>
      </c>
      <c r="I40" s="645">
        <v>1.5775999999999999</v>
      </c>
      <c r="J40" s="643">
        <v>4.37</v>
      </c>
      <c r="K40" s="645">
        <v>1.298913636363636</v>
      </c>
      <c r="L40" s="643">
        <v>2.0718000000000001</v>
      </c>
      <c r="M40" s="645">
        <v>1.2843</v>
      </c>
      <c r="N40" s="643">
        <v>1.7714000000000001</v>
      </c>
      <c r="O40" s="645">
        <v>16.75</v>
      </c>
      <c r="P40" s="643">
        <v>41.64</v>
      </c>
      <c r="Q40" s="645">
        <v>1.573</v>
      </c>
      <c r="R40" s="646">
        <v>4.3499999999999996</v>
      </c>
    </row>
    <row r="41" spans="1:18" ht="12.75" customHeight="1">
      <c r="A41" s="240"/>
      <c r="B41" s="274" t="s">
        <v>116</v>
      </c>
      <c r="C41" s="647">
        <v>1.2834000000000001</v>
      </c>
      <c r="D41" s="648">
        <v>2.0036</v>
      </c>
      <c r="E41" s="647">
        <v>1.3132999999999999</v>
      </c>
      <c r="F41" s="649">
        <v>1.7181</v>
      </c>
      <c r="G41" s="651">
        <v>16.510000000000002</v>
      </c>
      <c r="H41" s="649">
        <v>41.94</v>
      </c>
      <c r="I41" s="651">
        <v>1.5812999999999999</v>
      </c>
      <c r="J41" s="649">
        <v>4.2699999999999996</v>
      </c>
      <c r="K41" s="651">
        <v>1.3053043478260871</v>
      </c>
      <c r="L41" s="649">
        <v>2.0362</v>
      </c>
      <c r="M41" s="651">
        <v>1.2990999999999999</v>
      </c>
      <c r="N41" s="649">
        <v>1.7265999999999999</v>
      </c>
      <c r="O41" s="651">
        <v>16.79</v>
      </c>
      <c r="P41" s="649">
        <v>41.8</v>
      </c>
      <c r="Q41" s="651">
        <v>1.5685</v>
      </c>
      <c r="R41" s="652">
        <v>4.34</v>
      </c>
    </row>
    <row r="42" spans="1:18" ht="14">
      <c r="A42" s="239">
        <v>2011</v>
      </c>
      <c r="B42" s="273" t="s">
        <v>105</v>
      </c>
      <c r="C42" s="635">
        <v>1.2865</v>
      </c>
      <c r="D42" s="636">
        <v>2.0455000000000001</v>
      </c>
      <c r="E42" s="635">
        <v>1.276</v>
      </c>
      <c r="F42" s="637">
        <v>1.7516</v>
      </c>
      <c r="G42" s="639">
        <v>16.41</v>
      </c>
      <c r="H42" s="637">
        <v>41.87</v>
      </c>
      <c r="I42" s="639">
        <v>1.5591999999999999</v>
      </c>
      <c r="J42" s="637">
        <v>4.1500000000000004</v>
      </c>
      <c r="K42" s="639">
        <v>1.2879</v>
      </c>
      <c r="L42" s="637">
        <v>2.0302761904761901</v>
      </c>
      <c r="M42" s="639">
        <v>1.2816523809523812</v>
      </c>
      <c r="N42" s="637">
        <v>1.7201666666666671</v>
      </c>
      <c r="O42" s="639">
        <v>16.531904761904801</v>
      </c>
      <c r="P42" s="637">
        <v>42.028571428571396</v>
      </c>
      <c r="Q42" s="639">
        <v>1.5567952380952381</v>
      </c>
      <c r="R42" s="640">
        <v>4.21285714285714</v>
      </c>
    </row>
    <row r="43" spans="1:18" ht="14">
      <c r="A43" s="239"/>
      <c r="B43" s="273" t="s">
        <v>106</v>
      </c>
      <c r="C43" s="641">
        <v>1.2738</v>
      </c>
      <c r="D43" s="642">
        <v>2.0672000000000001</v>
      </c>
      <c r="E43" s="641">
        <v>1.2951999999999999</v>
      </c>
      <c r="F43" s="643">
        <v>1.7556</v>
      </c>
      <c r="G43" s="645">
        <v>16.329999999999998</v>
      </c>
      <c r="H43" s="643">
        <v>41.74</v>
      </c>
      <c r="I43" s="645">
        <v>1.5548</v>
      </c>
      <c r="J43" s="643">
        <v>4.1500000000000004</v>
      </c>
      <c r="K43" s="645">
        <v>1.2774000000000001</v>
      </c>
      <c r="L43" s="643">
        <v>2.0590400000000004</v>
      </c>
      <c r="M43" s="645">
        <v>1.287595</v>
      </c>
      <c r="N43" s="643">
        <v>1.7431449999999997</v>
      </c>
      <c r="O43" s="645">
        <v>16.38</v>
      </c>
      <c r="P43" s="643">
        <v>41.935499999999998</v>
      </c>
      <c r="Q43" s="645">
        <v>1.5453150000000002</v>
      </c>
      <c r="R43" s="646">
        <v>4.1550000000000002</v>
      </c>
    </row>
    <row r="44" spans="1:18" ht="14">
      <c r="A44" s="239"/>
      <c r="B44" s="273" t="s">
        <v>107</v>
      </c>
      <c r="C44" s="641">
        <v>1.2617</v>
      </c>
      <c r="D44" s="642">
        <v>2.0205000000000002</v>
      </c>
      <c r="E44" s="641">
        <v>1.3022</v>
      </c>
      <c r="F44" s="643">
        <v>1.7846</v>
      </c>
      <c r="G44" s="645">
        <v>16.21</v>
      </c>
      <c r="H44" s="643">
        <v>41.7</v>
      </c>
      <c r="I44" s="645">
        <v>1.5163</v>
      </c>
      <c r="J44" s="643">
        <v>4.16</v>
      </c>
      <c r="K44" s="645">
        <v>1.2688999999999999</v>
      </c>
      <c r="L44" s="643">
        <v>2.0486739130434786</v>
      </c>
      <c r="M44" s="645">
        <v>1.2824695652173914</v>
      </c>
      <c r="N44" s="643">
        <v>1.7775521739130438</v>
      </c>
      <c r="O44" s="645">
        <v>16.273478260869599</v>
      </c>
      <c r="P44" s="643">
        <v>41.796521739130398</v>
      </c>
      <c r="Q44" s="645">
        <v>1.5533869565217393</v>
      </c>
      <c r="R44" s="646">
        <v>4.1778260869565198</v>
      </c>
    </row>
    <row r="45" spans="1:18" ht="14">
      <c r="A45" s="239"/>
      <c r="B45" s="273" t="s">
        <v>108</v>
      </c>
      <c r="C45" s="641">
        <v>1.2277</v>
      </c>
      <c r="D45" s="642">
        <v>2.0459999999999998</v>
      </c>
      <c r="E45" s="641">
        <v>1.3435999999999999</v>
      </c>
      <c r="F45" s="643">
        <v>1.8129999999999999</v>
      </c>
      <c r="G45" s="645">
        <v>15.77</v>
      </c>
      <c r="H45" s="643">
        <v>41.37</v>
      </c>
      <c r="I45" s="645">
        <v>1.5075000000000001</v>
      </c>
      <c r="J45" s="643">
        <v>4.0999999999999996</v>
      </c>
      <c r="K45" s="645">
        <v>1.248</v>
      </c>
      <c r="L45" s="643">
        <v>2.041609523809524</v>
      </c>
      <c r="M45" s="645">
        <v>1.3206619047619048</v>
      </c>
      <c r="N45" s="643">
        <v>1.8031333333333333</v>
      </c>
      <c r="O45" s="645">
        <v>16.030952380952399</v>
      </c>
      <c r="P45" s="643">
        <v>41.392380952380897</v>
      </c>
      <c r="Q45" s="645">
        <v>1.498261904761905</v>
      </c>
      <c r="R45" s="646">
        <v>4.1471428571428604</v>
      </c>
    </row>
    <row r="46" spans="1:18" ht="14">
      <c r="A46" s="239"/>
      <c r="B46" s="273" t="s">
        <v>109</v>
      </c>
      <c r="C46" s="641">
        <v>1.2327999999999999</v>
      </c>
      <c r="D46" s="642">
        <v>2.0286</v>
      </c>
      <c r="E46" s="641">
        <v>1.3162</v>
      </c>
      <c r="F46" s="643">
        <v>1.7758</v>
      </c>
      <c r="G46" s="645">
        <v>15.86</v>
      </c>
      <c r="H46" s="643">
        <v>40.94</v>
      </c>
      <c r="I46" s="645">
        <v>1.5128999999999999</v>
      </c>
      <c r="J46" s="643">
        <v>4.07</v>
      </c>
      <c r="K46" s="645">
        <v>1.2374000000000001</v>
      </c>
      <c r="L46" s="643">
        <v>2.0234454545454543</v>
      </c>
      <c r="M46" s="645">
        <v>1.3223090909090909</v>
      </c>
      <c r="N46" s="643">
        <v>1.7743590909090905</v>
      </c>
      <c r="O46" s="645">
        <v>15.931818181818199</v>
      </c>
      <c r="P46" s="643">
        <v>41.060909090909099</v>
      </c>
      <c r="Q46" s="645">
        <v>1.526536363636364</v>
      </c>
      <c r="R46" s="646">
        <v>4.0949999999999998</v>
      </c>
    </row>
    <row r="47" spans="1:18" ht="14">
      <c r="A47" s="239"/>
      <c r="B47" s="273" t="s">
        <v>110</v>
      </c>
      <c r="C47" s="641">
        <v>1.2292000000000001</v>
      </c>
      <c r="D47" s="642">
        <v>1.9718</v>
      </c>
      <c r="E47" s="641">
        <v>1.3170999999999999</v>
      </c>
      <c r="F47" s="643">
        <v>1.7811999999999999</v>
      </c>
      <c r="G47" s="645">
        <v>15.79</v>
      </c>
      <c r="H47" s="643">
        <v>40.700000000000003</v>
      </c>
      <c r="I47" s="645">
        <v>1.5246999999999999</v>
      </c>
      <c r="J47" s="643">
        <v>4</v>
      </c>
      <c r="K47" s="645">
        <v>1.2346999999999999</v>
      </c>
      <c r="L47" s="643">
        <v>2.0019909090909089</v>
      </c>
      <c r="M47" s="645">
        <v>1.3098863636363633</v>
      </c>
      <c r="N47" s="643">
        <v>1.7777727272727271</v>
      </c>
      <c r="O47" s="645">
        <v>15.8568181818182</v>
      </c>
      <c r="P47" s="643">
        <v>40.769545454545501</v>
      </c>
      <c r="Q47" s="645">
        <v>1.5341045454545457</v>
      </c>
      <c r="R47" s="646">
        <v>4.0454545454545503</v>
      </c>
    </row>
    <row r="48" spans="1:18" ht="14">
      <c r="A48" s="239"/>
      <c r="B48" s="273" t="s">
        <v>111</v>
      </c>
      <c r="C48" s="641">
        <v>1.2040999999999999</v>
      </c>
      <c r="D48" s="642">
        <v>1.9776</v>
      </c>
      <c r="E48" s="641">
        <v>1.3234999999999999</v>
      </c>
      <c r="F48" s="643">
        <v>1.7336</v>
      </c>
      <c r="G48" s="645">
        <v>15.46</v>
      </c>
      <c r="H48" s="643">
        <v>40.58</v>
      </c>
      <c r="I48" s="645">
        <v>1.5683</v>
      </c>
      <c r="J48" s="643">
        <v>4.05</v>
      </c>
      <c r="K48" s="645">
        <v>1.2172000000000001</v>
      </c>
      <c r="L48" s="643">
        <v>1.9647571428571429</v>
      </c>
      <c r="M48" s="645">
        <v>1.3114190476190477</v>
      </c>
      <c r="N48" s="643">
        <v>1.7386476190476188</v>
      </c>
      <c r="O48" s="645">
        <v>15.6161904761905</v>
      </c>
      <c r="P48" s="643">
        <v>40.611428571428597</v>
      </c>
      <c r="Q48" s="645">
        <v>1.5345714285714285</v>
      </c>
      <c r="R48" s="646">
        <v>4.0452380952380897</v>
      </c>
    </row>
    <row r="49" spans="1:18" ht="14">
      <c r="A49" s="239"/>
      <c r="B49" s="273" t="s">
        <v>112</v>
      </c>
      <c r="C49" s="641">
        <v>1.2045999999999999</v>
      </c>
      <c r="D49" s="642">
        <v>1.9573</v>
      </c>
      <c r="E49" s="641">
        <v>1.2892999999999999</v>
      </c>
      <c r="F49" s="643">
        <v>1.7306999999999999</v>
      </c>
      <c r="G49" s="645">
        <v>15.47</v>
      </c>
      <c r="H49" s="643">
        <v>40.53</v>
      </c>
      <c r="I49" s="645">
        <v>1.5711999999999999</v>
      </c>
      <c r="J49" s="643">
        <v>4.0199999999999996</v>
      </c>
      <c r="K49" s="645">
        <v>1.2088000000000001</v>
      </c>
      <c r="L49" s="643">
        <v>1.9779521739130437</v>
      </c>
      <c r="M49" s="645">
        <v>1.2700956521739133</v>
      </c>
      <c r="N49" s="643">
        <v>1.7337782608695651</v>
      </c>
      <c r="O49" s="645">
        <v>15.5073913043478</v>
      </c>
      <c r="P49" s="643">
        <v>40.477391304347798</v>
      </c>
      <c r="Q49" s="645">
        <v>1.5693391304347826</v>
      </c>
      <c r="R49" s="646">
        <v>4.0469565217391299</v>
      </c>
    </row>
    <row r="50" spans="1:18" ht="14">
      <c r="A50" s="239"/>
      <c r="B50" s="273" t="s">
        <v>113</v>
      </c>
      <c r="C50" s="641">
        <v>1.3003</v>
      </c>
      <c r="D50" s="642">
        <v>2.0373999999999999</v>
      </c>
      <c r="E50" s="641">
        <v>1.2632000000000001</v>
      </c>
      <c r="F50" s="643">
        <v>1.7502</v>
      </c>
      <c r="G50" s="645">
        <v>16.8</v>
      </c>
      <c r="H50" s="643">
        <v>40.76</v>
      </c>
      <c r="I50" s="645">
        <v>1.6971000000000001</v>
      </c>
      <c r="J50" s="643">
        <v>4.1900000000000004</v>
      </c>
      <c r="K50" s="645">
        <v>1.2505999999999999</v>
      </c>
      <c r="L50" s="643">
        <v>1.9762090909090908</v>
      </c>
      <c r="M50" s="645">
        <v>1.2794454545454548</v>
      </c>
      <c r="N50" s="643">
        <v>1.7229999999999996</v>
      </c>
      <c r="O50" s="645">
        <v>16.081363636363601</v>
      </c>
      <c r="P50" s="643">
        <v>40.616818181818203</v>
      </c>
      <c r="Q50" s="645">
        <v>1.6310590909090907</v>
      </c>
      <c r="R50" s="646">
        <v>4.1150000000000002</v>
      </c>
    </row>
    <row r="51" spans="1:18" ht="14">
      <c r="A51" s="239"/>
      <c r="B51" s="273" t="s">
        <v>114</v>
      </c>
      <c r="C51" s="641">
        <v>1.2502</v>
      </c>
      <c r="D51" s="642">
        <v>2.0183</v>
      </c>
      <c r="E51" s="641">
        <v>1.3209</v>
      </c>
      <c r="F51" s="643">
        <v>1.7383999999999999</v>
      </c>
      <c r="G51" s="645">
        <v>16.149999999999999</v>
      </c>
      <c r="H51" s="643">
        <v>40.82</v>
      </c>
      <c r="I51" s="645">
        <v>1.605</v>
      </c>
      <c r="J51" s="643">
        <v>4.08</v>
      </c>
      <c r="K51" s="645">
        <v>1.2791999999999999</v>
      </c>
      <c r="L51" s="643">
        <v>2.0122047619047616</v>
      </c>
      <c r="M51" s="645">
        <v>1.2962285714285717</v>
      </c>
      <c r="N51" s="643">
        <v>1.751252380952381</v>
      </c>
      <c r="O51" s="645">
        <v>16.405238095238101</v>
      </c>
      <c r="P51" s="643">
        <v>40.693809523809499</v>
      </c>
      <c r="Q51" s="645">
        <v>1.664204761904762</v>
      </c>
      <c r="R51" s="646">
        <v>4.1357142857142897</v>
      </c>
    </row>
    <row r="52" spans="1:18" ht="14">
      <c r="A52" s="239"/>
      <c r="B52" s="273" t="s">
        <v>115</v>
      </c>
      <c r="C52" s="641">
        <v>1.2956000000000001</v>
      </c>
      <c r="D52" s="642">
        <v>2.0125000000000002</v>
      </c>
      <c r="E52" s="641">
        <v>1.3177000000000001</v>
      </c>
      <c r="F52" s="643">
        <v>1.7232000000000001</v>
      </c>
      <c r="G52" s="645">
        <v>16.5</v>
      </c>
      <c r="H52" s="643">
        <v>40.36</v>
      </c>
      <c r="I52" s="645">
        <v>1.6511</v>
      </c>
      <c r="J52" s="643">
        <v>4.1500000000000004</v>
      </c>
      <c r="K52" s="645">
        <v>1.2896000000000001</v>
      </c>
      <c r="L52" s="643">
        <v>2.0368590909090911</v>
      </c>
      <c r="M52" s="645">
        <v>1.3022954545454544</v>
      </c>
      <c r="N52" s="643">
        <v>1.7474590909090908</v>
      </c>
      <c r="O52" s="645">
        <v>16.5690909090909</v>
      </c>
      <c r="P52" s="643">
        <v>40.861818181818201</v>
      </c>
      <c r="Q52" s="645">
        <v>1.6629409090909091</v>
      </c>
      <c r="R52" s="646">
        <v>4.16409090909091</v>
      </c>
    </row>
    <row r="53" spans="1:18" ht="14">
      <c r="A53" s="240"/>
      <c r="B53" s="274" t="s">
        <v>116</v>
      </c>
      <c r="C53" s="647">
        <v>1.3007</v>
      </c>
      <c r="D53" s="648">
        <v>2.0152999999999999</v>
      </c>
      <c r="E53" s="647">
        <v>1.3231999999999999</v>
      </c>
      <c r="F53" s="649">
        <v>1.6808000000000001</v>
      </c>
      <c r="G53" s="651">
        <v>16.690000000000001</v>
      </c>
      <c r="H53" s="649">
        <v>40.94</v>
      </c>
      <c r="I53" s="651">
        <v>1.6857</v>
      </c>
      <c r="J53" s="649">
        <v>4.1100000000000003</v>
      </c>
      <c r="K53" s="651">
        <v>1.2957000000000001</v>
      </c>
      <c r="L53" s="649">
        <v>2.0199181818181815</v>
      </c>
      <c r="M53" s="651">
        <v>1.3113363636363635</v>
      </c>
      <c r="N53" s="649">
        <v>1.7035636363636362</v>
      </c>
      <c r="O53" s="651">
        <v>16.660454545454499</v>
      </c>
      <c r="P53" s="649">
        <v>40.984545454545398</v>
      </c>
      <c r="Q53" s="651">
        <v>1.6645545454545454</v>
      </c>
      <c r="R53" s="652">
        <v>4.1540909090909102</v>
      </c>
    </row>
    <row r="54" spans="1:18" ht="14">
      <c r="A54" s="239">
        <v>2012</v>
      </c>
      <c r="B54" s="273" t="s">
        <v>105</v>
      </c>
      <c r="C54" s="641">
        <v>1.2583</v>
      </c>
      <c r="D54" s="641">
        <v>1.9830000000000001</v>
      </c>
      <c r="E54" s="641">
        <v>1.3362000000000001</v>
      </c>
      <c r="F54" s="645">
        <v>1.6460999999999999</v>
      </c>
      <c r="G54" s="645">
        <v>16.220000000000002</v>
      </c>
      <c r="H54" s="643">
        <v>41.32</v>
      </c>
      <c r="I54" s="645">
        <v>1.6496</v>
      </c>
      <c r="J54" s="646">
        <v>4.0599999999999996</v>
      </c>
      <c r="K54" s="645">
        <v>1.2787900000000001</v>
      </c>
      <c r="L54" s="643">
        <v>1.9850272727272726</v>
      </c>
      <c r="M54" s="645">
        <v>1.3317818181818182</v>
      </c>
      <c r="N54" s="643">
        <v>1.6509454545454545</v>
      </c>
      <c r="O54" s="645">
        <v>16.473636363636398</v>
      </c>
      <c r="P54" s="643">
        <v>41.097272727272703</v>
      </c>
      <c r="Q54" s="645">
        <v>1.6622863636363638</v>
      </c>
      <c r="R54" s="646">
        <v>4.0563636363636402</v>
      </c>
    </row>
    <row r="55" spans="1:18" ht="14">
      <c r="A55" s="239"/>
      <c r="B55" s="273" t="s">
        <v>106</v>
      </c>
      <c r="C55" s="641">
        <v>1.2518</v>
      </c>
      <c r="D55" s="641">
        <v>1.9924999999999999</v>
      </c>
      <c r="E55" s="641">
        <v>1.3432999999999999</v>
      </c>
      <c r="F55" s="645">
        <v>1.6680999999999999</v>
      </c>
      <c r="G55" s="645">
        <v>16.14</v>
      </c>
      <c r="H55" s="643">
        <v>41.699999999999996</v>
      </c>
      <c r="I55" s="645">
        <v>1.5426</v>
      </c>
      <c r="J55" s="646">
        <v>4.1099999999999994</v>
      </c>
      <c r="K55" s="645">
        <v>1.2537</v>
      </c>
      <c r="L55" s="643">
        <v>1.9814904761904761</v>
      </c>
      <c r="M55" s="645">
        <v>1.344957142857143</v>
      </c>
      <c r="N55" s="643">
        <v>1.6596285714285717</v>
      </c>
      <c r="O55" s="645">
        <v>16.168571428571401</v>
      </c>
      <c r="P55" s="643">
        <v>41.472857142857102</v>
      </c>
      <c r="Q55" s="645">
        <v>1.5956619047619049</v>
      </c>
      <c r="R55" s="646">
        <v>4.0828571428571401</v>
      </c>
    </row>
    <row r="56" spans="1:18" ht="14">
      <c r="A56" s="239"/>
      <c r="B56" s="273" t="s">
        <v>107</v>
      </c>
      <c r="C56" s="641">
        <v>1.2578</v>
      </c>
      <c r="D56" s="641">
        <v>2.0142000000000002</v>
      </c>
      <c r="E56" s="641">
        <v>1.3015000000000001</v>
      </c>
      <c r="F56" s="645">
        <v>1.6782999999999999</v>
      </c>
      <c r="G56" s="645">
        <v>16.2</v>
      </c>
      <c r="H56" s="643">
        <v>41.08</v>
      </c>
      <c r="I56" s="645">
        <v>1.518</v>
      </c>
      <c r="J56" s="646">
        <v>4.08</v>
      </c>
      <c r="K56" s="645">
        <v>1.258818</v>
      </c>
      <c r="L56" s="643">
        <v>1.9928727272727271</v>
      </c>
      <c r="M56" s="645">
        <v>1.3258545454545454</v>
      </c>
      <c r="N56" s="643">
        <v>1.6633272727272725</v>
      </c>
      <c r="O56" s="645">
        <v>16.217727272727299</v>
      </c>
      <c r="P56" s="643">
        <v>41.316363636363597</v>
      </c>
      <c r="Q56" s="645">
        <v>1.5251227272727272</v>
      </c>
      <c r="R56" s="646">
        <v>4.09772727272727</v>
      </c>
    </row>
    <row r="57" spans="1:18" ht="14">
      <c r="A57" s="239"/>
      <c r="B57" s="273" t="s">
        <v>108</v>
      </c>
      <c r="C57" s="641">
        <v>1.2373000000000001</v>
      </c>
      <c r="D57" s="641">
        <v>2.0085999999999999</v>
      </c>
      <c r="E57" s="641">
        <v>1.2905</v>
      </c>
      <c r="F57" s="645">
        <v>1.6379999999999999</v>
      </c>
      <c r="G57" s="645">
        <v>15.950000000000001</v>
      </c>
      <c r="H57" s="643">
        <v>40.880000000000003</v>
      </c>
      <c r="I57" s="645">
        <v>1.55</v>
      </c>
      <c r="J57" s="646">
        <v>4.0199999999999996</v>
      </c>
      <c r="K57" s="645">
        <v>1.2511289999999999</v>
      </c>
      <c r="L57" s="643">
        <v>2.0026047619047622</v>
      </c>
      <c r="M57" s="645">
        <v>1.2951380952380955</v>
      </c>
      <c r="N57" s="643">
        <v>1.6469952380952382</v>
      </c>
      <c r="O57" s="645">
        <v>16.12</v>
      </c>
      <c r="P57" s="643">
        <v>40.879523809523803</v>
      </c>
      <c r="Q57" s="645">
        <v>1.5394285714285711</v>
      </c>
      <c r="R57" s="646">
        <v>4.0519047619047601</v>
      </c>
    </row>
    <row r="58" spans="1:18" ht="14">
      <c r="A58" s="239"/>
      <c r="B58" s="273" t="s">
        <v>109</v>
      </c>
      <c r="C58" s="641">
        <v>1.2886</v>
      </c>
      <c r="D58" s="641">
        <v>1.9850000000000001</v>
      </c>
      <c r="E58" s="641">
        <v>1.2543</v>
      </c>
      <c r="F58" s="645">
        <v>1.5932999999999999</v>
      </c>
      <c r="G58" s="645">
        <v>16.600000000000001</v>
      </c>
      <c r="H58" s="643">
        <v>40.57</v>
      </c>
      <c r="I58" s="645">
        <v>1.6453</v>
      </c>
      <c r="J58" s="646">
        <v>4.05</v>
      </c>
      <c r="K58" s="645">
        <v>1.2635479999999999</v>
      </c>
      <c r="L58" s="643">
        <v>2.0096130434782604</v>
      </c>
      <c r="M58" s="645">
        <v>1.2591521739130436</v>
      </c>
      <c r="N58" s="643">
        <v>1.615482608695652</v>
      </c>
      <c r="O58" s="645">
        <v>16.274347826086998</v>
      </c>
      <c r="P58" s="643">
        <v>40.736521739130403</v>
      </c>
      <c r="Q58" s="645">
        <v>1.5859260869565219</v>
      </c>
      <c r="R58" s="646">
        <v>4.0347826086956502</v>
      </c>
    </row>
    <row r="59" spans="1:18" ht="14">
      <c r="A59" s="239"/>
      <c r="B59" s="273" t="s">
        <v>110</v>
      </c>
      <c r="C59" s="641">
        <v>1.2653000000000001</v>
      </c>
      <c r="D59" s="641">
        <v>1.9872000000000001</v>
      </c>
      <c r="E59" s="641">
        <v>1.2951999999999999</v>
      </c>
      <c r="F59" s="645">
        <v>1.6022000000000001</v>
      </c>
      <c r="G59" s="645">
        <v>16.309999999999999</v>
      </c>
      <c r="H59" s="643">
        <v>40.14</v>
      </c>
      <c r="I59" s="645">
        <v>1.5857000000000001</v>
      </c>
      <c r="J59" s="646">
        <v>4.01</v>
      </c>
      <c r="K59" s="645">
        <v>1.2783</v>
      </c>
      <c r="L59" s="643">
        <v>1.9887809523809528</v>
      </c>
      <c r="M59" s="645">
        <v>1.2770333333333335</v>
      </c>
      <c r="N59" s="643">
        <v>1.6038666666666668</v>
      </c>
      <c r="O59" s="645">
        <v>16.473333333333301</v>
      </c>
      <c r="P59" s="643">
        <v>40.224761904761898</v>
      </c>
      <c r="Q59" s="645">
        <v>1.6109238095238094</v>
      </c>
      <c r="R59" s="646">
        <v>4.0423809523809497</v>
      </c>
    </row>
    <row r="60" spans="1:18" ht="14">
      <c r="A60" s="239"/>
      <c r="B60" s="273" t="s">
        <v>111</v>
      </c>
      <c r="C60" s="641">
        <v>1.2448999999999999</v>
      </c>
      <c r="D60" s="641">
        <v>1.9517</v>
      </c>
      <c r="E60" s="641">
        <v>1.3075000000000001</v>
      </c>
      <c r="F60" s="645">
        <v>1.5316000000000001</v>
      </c>
      <c r="G60" s="645">
        <v>16.05</v>
      </c>
      <c r="H60" s="643">
        <v>39.839999999999996</v>
      </c>
      <c r="I60" s="645">
        <v>1.5934999999999999</v>
      </c>
      <c r="J60" s="646">
        <v>3.95</v>
      </c>
      <c r="K60" s="645">
        <v>1.260486</v>
      </c>
      <c r="L60" s="643">
        <v>1.9661045454545452</v>
      </c>
      <c r="M60" s="645">
        <v>1.2989500000000005</v>
      </c>
      <c r="N60" s="643">
        <v>1.5495181818181818</v>
      </c>
      <c r="O60" s="645">
        <v>16.2513636363636</v>
      </c>
      <c r="P60" s="643">
        <v>39.822272727272697</v>
      </c>
      <c r="Q60" s="645">
        <v>1.5960045454545453</v>
      </c>
      <c r="R60" s="646">
        <v>3.9840909090909098</v>
      </c>
    </row>
    <row r="61" spans="1:18" ht="14">
      <c r="A61" s="239"/>
      <c r="B61" s="273" t="s">
        <v>112</v>
      </c>
      <c r="C61" s="641">
        <v>1.2476</v>
      </c>
      <c r="D61" s="641">
        <v>1.9794</v>
      </c>
      <c r="E61" s="641">
        <v>1.2881</v>
      </c>
      <c r="F61" s="645">
        <v>1.569</v>
      </c>
      <c r="G61" s="645">
        <v>16.079999999999998</v>
      </c>
      <c r="H61" s="643">
        <v>39.92</v>
      </c>
      <c r="I61" s="645">
        <v>1.5912999999999999</v>
      </c>
      <c r="J61" s="646">
        <v>3.9899999999999998</v>
      </c>
      <c r="K61" s="645">
        <v>1.24827</v>
      </c>
      <c r="L61" s="643">
        <v>1.9617960000000001</v>
      </c>
      <c r="M61" s="645">
        <v>1.306854</v>
      </c>
      <c r="N61" s="643">
        <v>1.5479419999999999</v>
      </c>
      <c r="O61" s="645">
        <v>16.093800000000002</v>
      </c>
      <c r="P61" s="643">
        <v>40.037100000000002</v>
      </c>
      <c r="Q61" s="645">
        <v>1.5865389999999999</v>
      </c>
      <c r="R61" s="646">
        <v>3.9738000000000002</v>
      </c>
    </row>
    <row r="62" spans="1:18" ht="14">
      <c r="A62" s="239"/>
      <c r="B62" s="273" t="s">
        <v>113</v>
      </c>
      <c r="C62" s="641">
        <v>1.2274</v>
      </c>
      <c r="D62" s="641">
        <v>1.9846999999999999</v>
      </c>
      <c r="E62" s="641">
        <v>1.2739</v>
      </c>
      <c r="F62" s="645">
        <v>1.5784</v>
      </c>
      <c r="G62" s="645">
        <v>15.83</v>
      </c>
      <c r="H62" s="643">
        <v>40.160000000000004</v>
      </c>
      <c r="I62" s="645">
        <v>1.5748</v>
      </c>
      <c r="J62" s="646">
        <v>3.9800000000000004</v>
      </c>
      <c r="K62" s="645">
        <v>1.2312350000000001</v>
      </c>
      <c r="L62" s="643">
        <v>1.9838450000000001</v>
      </c>
      <c r="M62" s="645">
        <v>1.28027</v>
      </c>
      <c r="N62" s="643">
        <v>1.584935</v>
      </c>
      <c r="O62" s="645">
        <v>15.879</v>
      </c>
      <c r="P62" s="643">
        <v>39.988500000000002</v>
      </c>
      <c r="Q62" s="645">
        <v>1.575305</v>
      </c>
      <c r="R62" s="646">
        <v>3.9750000000000001</v>
      </c>
    </row>
    <row r="63" spans="1:18" ht="14">
      <c r="A63" s="239"/>
      <c r="B63" s="273" t="s">
        <v>114</v>
      </c>
      <c r="C63" s="641">
        <v>1.2204999999999999</v>
      </c>
      <c r="D63" s="641">
        <v>1.9677</v>
      </c>
      <c r="E63" s="641">
        <v>1.2662</v>
      </c>
      <c r="F63" s="645">
        <v>1.5817000000000001</v>
      </c>
      <c r="G63" s="645">
        <v>15.740000000000002</v>
      </c>
      <c r="H63" s="643">
        <v>40.050000000000004</v>
      </c>
      <c r="I63" s="645">
        <v>1.5296000000000001</v>
      </c>
      <c r="J63" s="646">
        <v>3.9800000000000004</v>
      </c>
      <c r="K63" s="645">
        <v>1.2246999999999999</v>
      </c>
      <c r="L63" s="643">
        <v>1.967813</v>
      </c>
      <c r="M63" s="645">
        <v>1.260243</v>
      </c>
      <c r="N63" s="643">
        <v>1.588096</v>
      </c>
      <c r="O63" s="645">
        <v>15.7948</v>
      </c>
      <c r="P63" s="643">
        <v>40.070399999999999</v>
      </c>
      <c r="Q63" s="645">
        <v>1.5498130000000001</v>
      </c>
      <c r="R63" s="646">
        <v>3.99</v>
      </c>
    </row>
    <row r="64" spans="1:18" ht="14">
      <c r="A64" s="239"/>
      <c r="B64" s="273" t="s">
        <v>115</v>
      </c>
      <c r="C64" s="641">
        <v>1.2202</v>
      </c>
      <c r="D64" s="641">
        <v>1.9540999999999999</v>
      </c>
      <c r="E64" s="641">
        <v>1.2722</v>
      </c>
      <c r="F64" s="645">
        <v>1.5845</v>
      </c>
      <c r="G64" s="645">
        <v>15.740000000000002</v>
      </c>
      <c r="H64" s="643">
        <v>40.129999999999995</v>
      </c>
      <c r="I64" s="645">
        <v>1.4794</v>
      </c>
      <c r="J64" s="646">
        <v>3.9699999999999998</v>
      </c>
      <c r="K64" s="645">
        <v>1.22437</v>
      </c>
      <c r="L64" s="643">
        <v>1.952755</v>
      </c>
      <c r="M64" s="645">
        <v>1.272859</v>
      </c>
      <c r="N64" s="643">
        <v>1.5707</v>
      </c>
      <c r="O64" s="645">
        <v>15.7818</v>
      </c>
      <c r="P64" s="643">
        <v>39.994500000000002</v>
      </c>
      <c r="Q64" s="645">
        <v>1.509495</v>
      </c>
      <c r="R64" s="646">
        <v>3.9841000000000002</v>
      </c>
    </row>
    <row r="65" spans="1:18" ht="14">
      <c r="A65" s="239"/>
      <c r="B65" s="273" t="s">
        <v>116</v>
      </c>
      <c r="C65" s="641">
        <v>1.2213000000000001</v>
      </c>
      <c r="D65" s="641">
        <v>1.9837</v>
      </c>
      <c r="E65" s="641">
        <v>1.2694000000000001</v>
      </c>
      <c r="F65" s="645">
        <v>1.6113</v>
      </c>
      <c r="G65" s="645">
        <v>15.76</v>
      </c>
      <c r="H65" s="643">
        <v>39.94</v>
      </c>
      <c r="I65" s="645">
        <v>1.4078999999999999</v>
      </c>
      <c r="J65" s="646">
        <v>3.9899999999999998</v>
      </c>
      <c r="K65" s="645">
        <v>1.2204900000000001</v>
      </c>
      <c r="L65" s="643">
        <v>1.9703900000000001</v>
      </c>
      <c r="M65" s="645">
        <v>1.2767520000000001</v>
      </c>
      <c r="N65" s="643">
        <v>1.6021860000000001</v>
      </c>
      <c r="O65" s="645">
        <v>15.746700000000001</v>
      </c>
      <c r="P65" s="643">
        <v>39.928100000000001</v>
      </c>
      <c r="Q65" s="645">
        <v>1.4548760000000001</v>
      </c>
      <c r="R65" s="646">
        <v>3.9857</v>
      </c>
    </row>
    <row r="66" spans="1:18" ht="14">
      <c r="A66" s="238">
        <v>2013</v>
      </c>
      <c r="B66" s="272" t="s">
        <v>105</v>
      </c>
      <c r="C66" s="635">
        <v>1.2375</v>
      </c>
      <c r="D66" s="636">
        <v>1.9623999999999999</v>
      </c>
      <c r="E66" s="635">
        <v>1.2901</v>
      </c>
      <c r="F66" s="637">
        <v>1.6802999999999999</v>
      </c>
      <c r="G66" s="639">
        <v>15.97</v>
      </c>
      <c r="H66" s="637">
        <v>39.83</v>
      </c>
      <c r="I66" s="639">
        <v>1.3493999999999999</v>
      </c>
      <c r="J66" s="637">
        <v>4.1500000000000004</v>
      </c>
      <c r="K66" s="639">
        <v>1.2281089999999999</v>
      </c>
      <c r="L66" s="637">
        <v>1.9617</v>
      </c>
      <c r="M66" s="639">
        <v>1.2894699999999999</v>
      </c>
      <c r="N66" s="637">
        <v>1.6338600000000001</v>
      </c>
      <c r="O66" s="639">
        <v>15.84</v>
      </c>
      <c r="P66" s="637">
        <v>40.369999999999997</v>
      </c>
      <c r="Q66" s="639">
        <v>1.3787</v>
      </c>
      <c r="R66" s="640">
        <v>4.0869999999999997</v>
      </c>
    </row>
    <row r="67" spans="1:18" ht="14">
      <c r="A67" s="239"/>
      <c r="B67" s="273" t="s">
        <v>106</v>
      </c>
      <c r="C67" s="641">
        <v>1.2384999999999999</v>
      </c>
      <c r="D67" s="642">
        <v>1.8779999999999999</v>
      </c>
      <c r="E67" s="641">
        <v>1.2652000000000001</v>
      </c>
      <c r="F67" s="643">
        <v>1.6171</v>
      </c>
      <c r="G67" s="645">
        <v>15.97</v>
      </c>
      <c r="H67" s="643">
        <v>40.050000000000004</v>
      </c>
      <c r="I67" s="645">
        <v>1.3381000000000001</v>
      </c>
      <c r="J67" s="643">
        <v>4.16</v>
      </c>
      <c r="K67" s="645">
        <v>1.2385349999999999</v>
      </c>
      <c r="L67" s="643">
        <v>1.9156</v>
      </c>
      <c r="M67" s="645">
        <v>1.2766999999999999</v>
      </c>
      <c r="N67" s="643">
        <v>1.6524799999999999</v>
      </c>
      <c r="O67" s="645">
        <v>15.97</v>
      </c>
      <c r="P67" s="643">
        <v>39.97</v>
      </c>
      <c r="Q67" s="645">
        <v>1.33</v>
      </c>
      <c r="R67" s="646">
        <v>4.1520000000000001</v>
      </c>
    </row>
    <row r="68" spans="1:18" ht="14">
      <c r="A68" s="239"/>
      <c r="B68" s="273" t="s">
        <v>107</v>
      </c>
      <c r="C68" s="641">
        <v>1.2403999999999999</v>
      </c>
      <c r="D68" s="642">
        <v>1.8853</v>
      </c>
      <c r="E68" s="641">
        <v>1.2925</v>
      </c>
      <c r="F68" s="643">
        <v>1.5889</v>
      </c>
      <c r="G68" s="645">
        <v>15.98</v>
      </c>
      <c r="H68" s="643">
        <v>40.17</v>
      </c>
      <c r="I68" s="645">
        <v>1.3165</v>
      </c>
      <c r="J68" s="643">
        <v>4.24</v>
      </c>
      <c r="K68" s="645">
        <v>1.246238</v>
      </c>
      <c r="L68" s="643">
        <v>1.8794999999999999</v>
      </c>
      <c r="M68" s="645">
        <v>1.2899</v>
      </c>
      <c r="N68" s="643">
        <v>1.6146</v>
      </c>
      <c r="O68" s="645">
        <v>16.059999999999999</v>
      </c>
      <c r="P68" s="643">
        <v>40.090000000000003</v>
      </c>
      <c r="Q68" s="645">
        <v>1.3136000000000001</v>
      </c>
      <c r="R68" s="646">
        <v>4.2240000000000002</v>
      </c>
    </row>
    <row r="69" spans="1:18" ht="14">
      <c r="A69" s="239"/>
      <c r="B69" s="273" t="s">
        <v>108</v>
      </c>
      <c r="C69" s="641">
        <v>1.2317</v>
      </c>
      <c r="D69" s="642">
        <v>1.9127000000000001</v>
      </c>
      <c r="E69" s="641">
        <v>1.2771999999999999</v>
      </c>
      <c r="F69" s="643">
        <v>1.6214999999999999</v>
      </c>
      <c r="G69" s="645">
        <v>15.870000000000001</v>
      </c>
      <c r="H69" s="643">
        <v>40.479999999999997</v>
      </c>
      <c r="I69" s="645">
        <v>1.2639</v>
      </c>
      <c r="J69" s="643">
        <v>4.21</v>
      </c>
      <c r="K69" s="645">
        <v>1.2381</v>
      </c>
      <c r="L69" s="643">
        <v>1.8956</v>
      </c>
      <c r="M69" s="645">
        <v>1.2850999999999999</v>
      </c>
      <c r="N69" s="643">
        <v>1.6132</v>
      </c>
      <c r="O69" s="645">
        <v>15.95</v>
      </c>
      <c r="P69" s="643">
        <v>40.6</v>
      </c>
      <c r="Q69" s="645">
        <v>1.2670999999999999</v>
      </c>
      <c r="R69" s="646">
        <v>4.258</v>
      </c>
    </row>
    <row r="70" spans="1:18" ht="14">
      <c r="A70" s="239"/>
      <c r="B70" s="273" t="s">
        <v>109</v>
      </c>
      <c r="C70" s="641">
        <v>1.2644</v>
      </c>
      <c r="D70" s="642">
        <v>1.9215</v>
      </c>
      <c r="E70" s="641">
        <v>1.2101999999999999</v>
      </c>
      <c r="F70" s="643">
        <v>1.643</v>
      </c>
      <c r="G70" s="645">
        <v>16.29</v>
      </c>
      <c r="H70" s="643">
        <v>40.79</v>
      </c>
      <c r="I70" s="645">
        <v>1.2579</v>
      </c>
      <c r="J70" s="643">
        <v>4.16</v>
      </c>
      <c r="K70" s="645">
        <v>1.2493000000000001</v>
      </c>
      <c r="L70" s="643">
        <v>1.9096</v>
      </c>
      <c r="M70" s="645">
        <v>1.2363</v>
      </c>
      <c r="N70" s="643">
        <v>1.6213</v>
      </c>
      <c r="O70" s="645">
        <v>16.100000000000001</v>
      </c>
      <c r="P70" s="643">
        <v>41.34</v>
      </c>
      <c r="Q70" s="645">
        <v>1.2372000000000001</v>
      </c>
      <c r="R70" s="646">
        <v>4.1950000000000003</v>
      </c>
    </row>
    <row r="71" spans="1:18" ht="14">
      <c r="A71" s="239"/>
      <c r="B71" s="273" t="s">
        <v>110</v>
      </c>
      <c r="C71" s="641">
        <v>1.2679</v>
      </c>
      <c r="D71" s="642">
        <v>1.9285000000000001</v>
      </c>
      <c r="E71" s="641">
        <v>1.1586000000000001</v>
      </c>
      <c r="F71" s="643">
        <v>1.6495</v>
      </c>
      <c r="G71" s="645">
        <v>16.34</v>
      </c>
      <c r="H71" s="643">
        <v>39.910000000000004</v>
      </c>
      <c r="I71" s="645">
        <v>1.2787999999999999</v>
      </c>
      <c r="J71" s="643">
        <v>4.08</v>
      </c>
      <c r="K71" s="645">
        <v>1.2602</v>
      </c>
      <c r="L71" s="643">
        <v>1.9528000000000001</v>
      </c>
      <c r="M71" s="645">
        <v>1.1880999999999999</v>
      </c>
      <c r="N71" s="643">
        <v>1.6634</v>
      </c>
      <c r="O71" s="645">
        <v>16.239999999999998</v>
      </c>
      <c r="P71" s="643">
        <v>40.049999999999997</v>
      </c>
      <c r="Q71" s="645">
        <v>1.2957000000000001</v>
      </c>
      <c r="R71" s="646">
        <v>4.0869999999999997</v>
      </c>
    </row>
    <row r="72" spans="1:18" ht="14">
      <c r="A72" s="239"/>
      <c r="B72" s="273" t="s">
        <v>117</v>
      </c>
      <c r="C72" s="641">
        <v>1.2709999999999999</v>
      </c>
      <c r="D72" s="642">
        <v>1.9328000000000001</v>
      </c>
      <c r="E72" s="641">
        <v>1.1416999999999999</v>
      </c>
      <c r="F72" s="643">
        <v>1.6906000000000001</v>
      </c>
      <c r="G72" s="645">
        <v>16.400000000000002</v>
      </c>
      <c r="H72" s="643">
        <v>39.11</v>
      </c>
      <c r="I72" s="645">
        <v>1.2984</v>
      </c>
      <c r="J72" s="643">
        <v>4.0599999999999996</v>
      </c>
      <c r="K72" s="645">
        <v>1.2677</v>
      </c>
      <c r="L72" s="643">
        <v>1.9253</v>
      </c>
      <c r="M72" s="645">
        <v>1.1618999999999999</v>
      </c>
      <c r="N72" s="643">
        <v>1.6600999999999999</v>
      </c>
      <c r="O72" s="645">
        <v>16.34</v>
      </c>
      <c r="P72" s="643">
        <v>39.72</v>
      </c>
      <c r="Q72" s="645">
        <v>1.2723</v>
      </c>
      <c r="R72" s="646">
        <v>4.0759999999999996</v>
      </c>
    </row>
    <row r="73" spans="1:18" ht="14">
      <c r="A73" s="239"/>
      <c r="B73" s="273" t="s">
        <v>112</v>
      </c>
      <c r="C73" s="641">
        <v>1.2750999999999999</v>
      </c>
      <c r="D73" s="642">
        <v>1.9775</v>
      </c>
      <c r="E73" s="641">
        <v>1.1349</v>
      </c>
      <c r="F73" s="643">
        <v>1.6857</v>
      </c>
      <c r="G73" s="645">
        <v>16.439999999999998</v>
      </c>
      <c r="H73" s="643">
        <v>38.629999999999995</v>
      </c>
      <c r="I73" s="645">
        <v>1.2986</v>
      </c>
      <c r="J73" s="643">
        <v>3.9699999999999998</v>
      </c>
      <c r="K73" s="645">
        <v>1.2725</v>
      </c>
      <c r="L73" s="643">
        <v>1.9730000000000001</v>
      </c>
      <c r="M73" s="645">
        <v>1.1494</v>
      </c>
      <c r="N73" s="643">
        <v>1.6948000000000001</v>
      </c>
      <c r="O73" s="645">
        <v>16.41</v>
      </c>
      <c r="P73" s="643">
        <v>38.81</v>
      </c>
      <c r="Q73" s="645">
        <v>1.3010999999999999</v>
      </c>
      <c r="R73" s="646">
        <v>4.0289999999999999</v>
      </c>
    </row>
    <row r="74" spans="1:18" ht="14">
      <c r="A74" s="239"/>
      <c r="B74" s="273" t="s">
        <v>113</v>
      </c>
      <c r="C74" s="641">
        <v>1.2557</v>
      </c>
      <c r="D74" s="642">
        <v>2.0337999999999998</v>
      </c>
      <c r="E74" s="641">
        <v>1.1698</v>
      </c>
      <c r="F74" s="643">
        <v>1.6984999999999999</v>
      </c>
      <c r="G74" s="645">
        <v>16.189999999999998</v>
      </c>
      <c r="H74" s="643">
        <v>38.54</v>
      </c>
      <c r="I74" s="645">
        <v>1.2783</v>
      </c>
      <c r="J74" s="643">
        <v>4.0199999999999996</v>
      </c>
      <c r="K74" s="645">
        <v>1.2625999999999999</v>
      </c>
      <c r="L74" s="643">
        <v>2.0043000000000002</v>
      </c>
      <c r="M74" s="645">
        <v>1.173</v>
      </c>
      <c r="N74" s="643">
        <v>1.6870000000000001</v>
      </c>
      <c r="O74" s="645">
        <v>16.28</v>
      </c>
      <c r="P74" s="643">
        <v>38.92</v>
      </c>
      <c r="Q74" s="645">
        <v>1.2728999999999999</v>
      </c>
      <c r="R74" s="646">
        <v>3.988</v>
      </c>
    </row>
    <row r="75" spans="1:18" ht="14">
      <c r="A75" s="239"/>
      <c r="B75" s="273" t="s">
        <v>114</v>
      </c>
      <c r="C75" s="641">
        <v>1.2417</v>
      </c>
      <c r="D75" s="642">
        <v>1.9916</v>
      </c>
      <c r="E75" s="641">
        <v>1.1742999999999999</v>
      </c>
      <c r="F75" s="643">
        <v>1.6867000000000001</v>
      </c>
      <c r="G75" s="645">
        <v>16.010000000000002</v>
      </c>
      <c r="H75" s="643">
        <v>39.299999999999997</v>
      </c>
      <c r="I75" s="645">
        <v>1.2624</v>
      </c>
      <c r="J75" s="643">
        <v>3.98</v>
      </c>
      <c r="K75" s="645">
        <v>1.2433000000000001</v>
      </c>
      <c r="L75" s="643">
        <v>2.0005000000000002</v>
      </c>
      <c r="M75" s="645">
        <v>1.1832</v>
      </c>
      <c r="N75" s="643">
        <v>1.6957</v>
      </c>
      <c r="O75" s="645">
        <v>16.03</v>
      </c>
      <c r="P75" s="643">
        <v>39.22</v>
      </c>
      <c r="Q75" s="645">
        <v>1.2708999999999999</v>
      </c>
      <c r="R75" s="646">
        <v>3.984</v>
      </c>
    </row>
    <row r="76" spans="1:18" ht="14">
      <c r="A76" s="239"/>
      <c r="B76" s="273" t="s">
        <v>115</v>
      </c>
      <c r="C76" s="641">
        <v>1.2557</v>
      </c>
      <c r="D76" s="642">
        <v>2.0565000000000002</v>
      </c>
      <c r="E76" s="641">
        <v>1.1432</v>
      </c>
      <c r="F76" s="643">
        <v>1.7063999999999999</v>
      </c>
      <c r="G76" s="645">
        <v>16.190000000000001</v>
      </c>
      <c r="H76" s="643">
        <v>38.909999999999997</v>
      </c>
      <c r="I76" s="645">
        <v>1.2254</v>
      </c>
      <c r="J76" s="643">
        <v>3.92</v>
      </c>
      <c r="K76" s="645">
        <v>1.2479</v>
      </c>
      <c r="L76" s="643">
        <v>2.0110000000000001</v>
      </c>
      <c r="M76" s="645">
        <v>1.1626000000000001</v>
      </c>
      <c r="N76" s="643">
        <v>1.6839999999999999</v>
      </c>
      <c r="O76" s="645">
        <v>16.100000000000001</v>
      </c>
      <c r="P76" s="643">
        <v>38.99</v>
      </c>
      <c r="Q76" s="645">
        <v>1.2466999999999999</v>
      </c>
      <c r="R76" s="646">
        <v>3.9430000000000001</v>
      </c>
    </row>
    <row r="77" spans="1:18" ht="14">
      <c r="A77" s="240"/>
      <c r="B77" s="274" t="s">
        <v>116</v>
      </c>
      <c r="C77" s="647">
        <v>1.2629999999999999</v>
      </c>
      <c r="D77" s="648">
        <v>2.0926999999999998</v>
      </c>
      <c r="E77" s="647">
        <v>1.1258999999999999</v>
      </c>
      <c r="F77" s="649">
        <v>1.7363</v>
      </c>
      <c r="G77" s="651">
        <v>16.28</v>
      </c>
      <c r="H77" s="649">
        <v>38.51</v>
      </c>
      <c r="I77" s="651">
        <v>1.1992</v>
      </c>
      <c r="J77" s="649">
        <v>3.86</v>
      </c>
      <c r="K77" s="651">
        <v>1.2593000000000001</v>
      </c>
      <c r="L77" s="649">
        <v>2.0630000000000002</v>
      </c>
      <c r="M77" s="651">
        <v>1.1304000000000001</v>
      </c>
      <c r="N77" s="649">
        <v>1.7256</v>
      </c>
      <c r="O77" s="651">
        <v>16.239999999999998</v>
      </c>
      <c r="P77" s="649">
        <v>38.729999999999997</v>
      </c>
      <c r="Q77" s="651">
        <v>1.2156</v>
      </c>
      <c r="R77" s="652">
        <v>3.8889999999999998</v>
      </c>
    </row>
    <row r="78" spans="1:18" ht="14">
      <c r="A78" s="238">
        <v>2014</v>
      </c>
      <c r="B78" s="272" t="s">
        <v>105</v>
      </c>
      <c r="C78" s="635">
        <v>1.2766999999999999</v>
      </c>
      <c r="D78" s="636">
        <v>2.0985999999999998</v>
      </c>
      <c r="E78" s="635">
        <v>1.1177999999999999</v>
      </c>
      <c r="F78" s="637">
        <v>1.7221</v>
      </c>
      <c r="G78" s="639">
        <v>16.440000000000001</v>
      </c>
      <c r="H78" s="637">
        <v>38.15</v>
      </c>
      <c r="I78" s="639">
        <v>1.2513000000000001</v>
      </c>
      <c r="J78" s="637">
        <v>3.86</v>
      </c>
      <c r="K78" s="639">
        <v>1.2726999999999999</v>
      </c>
      <c r="L78" s="637">
        <v>2.0966999999999998</v>
      </c>
      <c r="M78" s="639">
        <v>1.1271</v>
      </c>
      <c r="N78" s="637">
        <v>1.7336</v>
      </c>
      <c r="O78" s="639">
        <v>16.399999999999999</v>
      </c>
      <c r="P78" s="637">
        <v>38.5</v>
      </c>
      <c r="Q78" s="639">
        <v>1.2253000000000001</v>
      </c>
      <c r="R78" s="640">
        <v>3.86</v>
      </c>
    </row>
    <row r="79" spans="1:18" ht="14">
      <c r="A79" s="239"/>
      <c r="B79" s="273" t="s">
        <v>106</v>
      </c>
      <c r="C79" s="641">
        <v>1.2677</v>
      </c>
      <c r="D79" s="642">
        <v>2.1234000000000002</v>
      </c>
      <c r="E79" s="641">
        <v>1.1315999999999999</v>
      </c>
      <c r="F79" s="643">
        <v>1.7495000000000001</v>
      </c>
      <c r="G79" s="645">
        <v>16.329999999999998</v>
      </c>
      <c r="H79" s="643">
        <v>38.729999999999997</v>
      </c>
      <c r="I79" s="645">
        <v>1.2455000000000001</v>
      </c>
      <c r="J79" s="643">
        <v>3.89</v>
      </c>
      <c r="K79" s="645">
        <v>1.2659</v>
      </c>
      <c r="L79" s="643">
        <v>2.0971000000000002</v>
      </c>
      <c r="M79" s="645">
        <v>1.1359999999999999</v>
      </c>
      <c r="N79" s="643">
        <v>1.7303999999999999</v>
      </c>
      <c r="O79" s="645">
        <v>16.309999999999999</v>
      </c>
      <c r="P79" s="643">
        <v>38.299999999999997</v>
      </c>
      <c r="Q79" s="645">
        <v>1.2397</v>
      </c>
      <c r="R79" s="646">
        <v>3.88</v>
      </c>
    </row>
    <row r="80" spans="1:18" ht="14">
      <c r="A80" s="239"/>
      <c r="B80" s="273" t="s">
        <v>107</v>
      </c>
      <c r="C80" s="641">
        <v>1.2575000000000001</v>
      </c>
      <c r="D80" s="642">
        <v>2.0954000000000002</v>
      </c>
      <c r="E80" s="641">
        <v>1.165</v>
      </c>
      <c r="F80" s="643">
        <v>1.7316</v>
      </c>
      <c r="G80" s="645">
        <v>16.21</v>
      </c>
      <c r="H80" s="643">
        <v>38.65</v>
      </c>
      <c r="I80" s="645">
        <v>1.2181999999999999</v>
      </c>
      <c r="J80" s="643">
        <v>3.88</v>
      </c>
      <c r="K80" s="645">
        <v>1.2675333333333334</v>
      </c>
      <c r="L80" s="643">
        <v>2.1061619047619047</v>
      </c>
      <c r="M80" s="645">
        <v>1.1513476190476188</v>
      </c>
      <c r="N80" s="643">
        <v>1.7524285714285719</v>
      </c>
      <c r="O80" s="645">
        <v>16.332380952381001</v>
      </c>
      <c r="P80" s="643">
        <v>38.626190476190501</v>
      </c>
      <c r="Q80" s="645">
        <v>1.2383761904761907</v>
      </c>
      <c r="R80" s="646">
        <v>3.9161904761904767</v>
      </c>
    </row>
    <row r="81" spans="1:18" ht="14">
      <c r="A81" s="239"/>
      <c r="B81" s="273" t="s">
        <v>108</v>
      </c>
      <c r="C81" s="641">
        <v>1.2537</v>
      </c>
      <c r="D81" s="642">
        <v>2.1152000000000002</v>
      </c>
      <c r="E81" s="641">
        <v>1.1639999999999999</v>
      </c>
      <c r="F81" s="643">
        <v>1.7385999999999999</v>
      </c>
      <c r="G81" s="645">
        <v>16.170000000000002</v>
      </c>
      <c r="H81" s="643">
        <v>38.440000000000005</v>
      </c>
      <c r="I81" s="645">
        <v>1.2262</v>
      </c>
      <c r="J81" s="643">
        <v>3.8699999999999997</v>
      </c>
      <c r="K81" s="645">
        <v>1.2548954545454547</v>
      </c>
      <c r="L81" s="643">
        <v>2.1015499999999996</v>
      </c>
      <c r="M81" s="645">
        <v>1.1692454545454547</v>
      </c>
      <c r="N81" s="643">
        <v>1.7330727272727273</v>
      </c>
      <c r="O81" s="645">
        <v>16.184545454545454</v>
      </c>
      <c r="P81" s="643">
        <v>38.555000000000007</v>
      </c>
      <c r="Q81" s="645">
        <v>1.2240863636363635</v>
      </c>
      <c r="R81" s="646">
        <v>3.8827272727272724</v>
      </c>
    </row>
    <row r="82" spans="1:18" ht="14">
      <c r="A82" s="239"/>
      <c r="B82" s="273" t="s">
        <v>109</v>
      </c>
      <c r="C82" s="641">
        <v>1.2542</v>
      </c>
      <c r="D82" s="642">
        <v>2.1004999999999998</v>
      </c>
      <c r="E82" s="641">
        <v>1.1675</v>
      </c>
      <c r="F82" s="643">
        <v>1.71</v>
      </c>
      <c r="G82" s="645">
        <v>16.18</v>
      </c>
      <c r="H82" s="643">
        <v>38.950000000000003</v>
      </c>
      <c r="I82" s="645">
        <v>1.232</v>
      </c>
      <c r="J82" s="643">
        <v>3.82</v>
      </c>
      <c r="K82" s="645">
        <v>1.2518681818181816</v>
      </c>
      <c r="L82" s="643">
        <v>2.1083000000000003</v>
      </c>
      <c r="M82" s="645">
        <v>1.1647090909090911</v>
      </c>
      <c r="N82" s="643">
        <v>1.7191136363636366</v>
      </c>
      <c r="O82" s="645">
        <v>16.14863636363636</v>
      </c>
      <c r="P82" s="643">
        <v>38.789999999999992</v>
      </c>
      <c r="Q82" s="645">
        <v>1.2292363636363637</v>
      </c>
      <c r="R82" s="646">
        <v>3.8477272727272713</v>
      </c>
    </row>
    <row r="83" spans="1:18" ht="14">
      <c r="A83" s="239"/>
      <c r="B83" s="273" t="s">
        <v>110</v>
      </c>
      <c r="C83" s="641">
        <v>1.2465999999999999</v>
      </c>
      <c r="D83" s="642">
        <v>2.1324000000000001</v>
      </c>
      <c r="E83" s="641">
        <v>1.1758999999999999</v>
      </c>
      <c r="F83" s="643">
        <v>1.7070000000000001</v>
      </c>
      <c r="G83" s="645">
        <v>16.09</v>
      </c>
      <c r="H83" s="643">
        <v>38.840000000000003</v>
      </c>
      <c r="I83" s="645">
        <v>1.2303999999999999</v>
      </c>
      <c r="J83" s="643">
        <v>3.84</v>
      </c>
      <c r="K83" s="645">
        <v>1.2509571428571429</v>
      </c>
      <c r="L83" s="643">
        <v>2.1161428571428567</v>
      </c>
      <c r="M83" s="645">
        <v>1.172390476190476</v>
      </c>
      <c r="N83" s="643">
        <v>1.7013476190476193</v>
      </c>
      <c r="O83" s="645">
        <v>16.137142857142862</v>
      </c>
      <c r="P83" s="643">
        <v>38.878095238095241</v>
      </c>
      <c r="Q83" s="645">
        <v>1.2256666666666665</v>
      </c>
      <c r="R83" s="646">
        <v>3.8504761904761895</v>
      </c>
    </row>
    <row r="84" spans="1:18" ht="14">
      <c r="A84" s="239"/>
      <c r="B84" s="273" t="s">
        <v>117</v>
      </c>
      <c r="C84" s="654">
        <v>1.2477</v>
      </c>
      <c r="D84" s="655">
        <v>2.1067999999999998</v>
      </c>
      <c r="E84" s="654">
        <v>1.1597999999999999</v>
      </c>
      <c r="F84" s="656">
        <v>1.6707000000000001</v>
      </c>
      <c r="G84" s="645">
        <v>16.100000000000001</v>
      </c>
      <c r="H84" s="643">
        <v>38.840000000000003</v>
      </c>
      <c r="I84" s="657">
        <v>1.2139</v>
      </c>
      <c r="J84" s="658">
        <v>3.88</v>
      </c>
      <c r="K84" s="645">
        <v>1.2430565217391305</v>
      </c>
      <c r="L84" s="643">
        <v>2.1223565217391305</v>
      </c>
      <c r="M84" s="645">
        <v>1.1671304347826088</v>
      </c>
      <c r="N84" s="643">
        <v>1.6828000000000003</v>
      </c>
      <c r="O84" s="645">
        <v>16.038695652173899</v>
      </c>
      <c r="P84" s="643">
        <v>39.035652173913</v>
      </c>
      <c r="Q84" s="645">
        <v>1.2215478260869568</v>
      </c>
      <c r="R84" s="646">
        <v>3.87130434782609</v>
      </c>
    </row>
    <row r="85" spans="1:18" ht="14">
      <c r="A85" s="239"/>
      <c r="B85" s="273" t="s">
        <v>112</v>
      </c>
      <c r="C85" s="654">
        <v>1.2486999999999999</v>
      </c>
      <c r="D85" s="655">
        <v>2.0724999999999998</v>
      </c>
      <c r="E85" s="654">
        <v>1.1660999999999999</v>
      </c>
      <c r="F85" s="656">
        <v>1.64</v>
      </c>
      <c r="G85" s="645">
        <v>16.11</v>
      </c>
      <c r="H85" s="643">
        <v>39.479999999999997</v>
      </c>
      <c r="I85" s="657">
        <v>1.1998</v>
      </c>
      <c r="J85" s="658">
        <v>3.91</v>
      </c>
      <c r="K85" s="645">
        <v>1.2487952380952378</v>
      </c>
      <c r="L85" s="643">
        <v>2.0852333333333335</v>
      </c>
      <c r="M85" s="645">
        <v>1.1625047619047622</v>
      </c>
      <c r="N85" s="643">
        <v>1.6626428571428573</v>
      </c>
      <c r="O85" s="645">
        <v>16.110952380952401</v>
      </c>
      <c r="P85" s="643">
        <v>39.317619047619097</v>
      </c>
      <c r="Q85" s="645">
        <v>1.2126809523809523</v>
      </c>
      <c r="R85" s="646">
        <v>3.9009523809523801</v>
      </c>
    </row>
    <row r="86" spans="1:18" ht="14">
      <c r="A86" s="239"/>
      <c r="B86" s="273" t="s">
        <v>113</v>
      </c>
      <c r="C86" s="654">
        <v>1.2758</v>
      </c>
      <c r="D86" s="655">
        <v>2.0680999999999998</v>
      </c>
      <c r="E86" s="654">
        <v>1.1157999999999999</v>
      </c>
      <c r="F86" s="656">
        <v>1.6113</v>
      </c>
      <c r="G86" s="645">
        <v>16.43</v>
      </c>
      <c r="H86" s="643">
        <v>38.869999999999997</v>
      </c>
      <c r="I86" s="657">
        <v>1.1635</v>
      </c>
      <c r="J86" s="658">
        <v>3.93</v>
      </c>
      <c r="K86" s="645">
        <v>1.2637909090909092</v>
      </c>
      <c r="L86" s="643">
        <v>2.0606727272727277</v>
      </c>
      <c r="M86" s="645">
        <v>1.1434227272727271</v>
      </c>
      <c r="N86" s="643">
        <v>1.6295181818181816</v>
      </c>
      <c r="O86" s="645">
        <v>16.3013636363636</v>
      </c>
      <c r="P86" s="643">
        <v>39.228181818181802</v>
      </c>
      <c r="Q86" s="645">
        <v>1.1770636363636362</v>
      </c>
      <c r="R86" s="646">
        <v>3.9245454545454601</v>
      </c>
    </row>
    <row r="87" spans="1:18" ht="14">
      <c r="A87" s="239"/>
      <c r="B87" s="273" t="s">
        <v>114</v>
      </c>
      <c r="C87" s="641">
        <v>1.3165</v>
      </c>
      <c r="D87" s="642">
        <v>2.0583</v>
      </c>
      <c r="E87" s="641">
        <v>1.1308</v>
      </c>
      <c r="F87" s="643">
        <v>1.6093999999999999</v>
      </c>
      <c r="G87" s="645">
        <v>16.580000000000002</v>
      </c>
      <c r="H87" s="643">
        <v>38.83</v>
      </c>
      <c r="I87" s="645">
        <v>1.1449</v>
      </c>
      <c r="J87" s="643">
        <v>3.94</v>
      </c>
      <c r="K87" s="645">
        <v>1.2749652173913042</v>
      </c>
      <c r="L87" s="643">
        <v>2.0497260869565213</v>
      </c>
      <c r="M87" s="645">
        <v>1.1191695652173912</v>
      </c>
      <c r="N87" s="643">
        <v>1.6168521739130439</v>
      </c>
      <c r="O87" s="645">
        <v>16.431304347826089</v>
      </c>
      <c r="P87" s="643">
        <v>38.979130434782618</v>
      </c>
      <c r="Q87" s="645">
        <v>1.1803478260869564</v>
      </c>
      <c r="R87" s="646">
        <v>3.927826086956522</v>
      </c>
    </row>
    <row r="88" spans="1:18" ht="14">
      <c r="A88" s="239"/>
      <c r="B88" s="273" t="s">
        <v>115</v>
      </c>
      <c r="C88" s="641">
        <v>1.3043</v>
      </c>
      <c r="D88" s="642">
        <v>2.0409000000000002</v>
      </c>
      <c r="E88" s="641">
        <v>1.1093</v>
      </c>
      <c r="F88" s="643">
        <v>1.6243000000000001</v>
      </c>
      <c r="G88" s="645">
        <v>16.82</v>
      </c>
      <c r="H88" s="643">
        <v>38.39</v>
      </c>
      <c r="I88" s="645">
        <v>1.0987</v>
      </c>
      <c r="J88" s="643">
        <v>3.9699999999999998</v>
      </c>
      <c r="K88" s="645">
        <v>1.2964350000000002</v>
      </c>
      <c r="L88" s="643">
        <v>2.0448799999999996</v>
      </c>
      <c r="M88" s="645">
        <v>1.1199549999999998</v>
      </c>
      <c r="N88" s="643">
        <v>1.6171650000000004</v>
      </c>
      <c r="O88" s="645">
        <v>16.715999999999998</v>
      </c>
      <c r="P88" s="643">
        <v>38.720499999999994</v>
      </c>
      <c r="Q88" s="645">
        <v>1.1136449999999998</v>
      </c>
      <c r="R88" s="646">
        <v>3.9525000000000006</v>
      </c>
    </row>
    <row r="89" spans="1:18" ht="14">
      <c r="A89" s="240"/>
      <c r="B89" s="274" t="s">
        <v>116</v>
      </c>
      <c r="C89" s="647">
        <v>1.3260000000000001</v>
      </c>
      <c r="D89" s="648">
        <v>2.0636000000000001</v>
      </c>
      <c r="E89" s="647">
        <v>1.0825</v>
      </c>
      <c r="F89" s="649">
        <v>1.6034999999999999</v>
      </c>
      <c r="G89" s="651">
        <v>17.080000000000002</v>
      </c>
      <c r="H89" s="649">
        <v>37.81</v>
      </c>
      <c r="I89" s="651">
        <v>1.1073999999999999</v>
      </c>
      <c r="J89" s="649">
        <v>4.03</v>
      </c>
      <c r="K89" s="651">
        <v>1.3165</v>
      </c>
      <c r="L89" s="649">
        <v>2.0575826086956526</v>
      </c>
      <c r="M89" s="651">
        <v>1.0840869565217393</v>
      </c>
      <c r="N89" s="649">
        <v>1.6200565217391301</v>
      </c>
      <c r="O89" s="651">
        <v>16.97695652173913</v>
      </c>
      <c r="P89" s="649">
        <v>37.805217391304339</v>
      </c>
      <c r="Q89" s="651">
        <v>1.102317391304348</v>
      </c>
      <c r="R89" s="652">
        <v>4.0121739130434797</v>
      </c>
    </row>
    <row r="90" spans="1:18" ht="14">
      <c r="A90" s="239">
        <v>2015</v>
      </c>
      <c r="B90" s="273" t="s">
        <v>105</v>
      </c>
      <c r="C90" s="641">
        <v>1.3544</v>
      </c>
      <c r="D90" s="642">
        <v>2.0406</v>
      </c>
      <c r="E90" s="641">
        <v>1.0516000000000001</v>
      </c>
      <c r="F90" s="639">
        <v>1.5289999999999999</v>
      </c>
      <c r="G90" s="645">
        <v>17.47</v>
      </c>
      <c r="H90" s="643">
        <v>37.269999999999996</v>
      </c>
      <c r="I90" s="645">
        <v>1.1521999999999999</v>
      </c>
      <c r="J90" s="643">
        <v>4.1399999999999997</v>
      </c>
      <c r="K90" s="639">
        <v>1.3374590909090911</v>
      </c>
      <c r="L90" s="643">
        <v>2.0273909090909084</v>
      </c>
      <c r="M90" s="645">
        <v>1.0785545454545453</v>
      </c>
      <c r="N90" s="643">
        <v>1.5552545454545454</v>
      </c>
      <c r="O90" s="645">
        <v>17.24909090909091</v>
      </c>
      <c r="P90" s="639">
        <v>37.340000000000003</v>
      </c>
      <c r="Q90" s="645">
        <v>1.1302045454545455</v>
      </c>
      <c r="R90" s="646">
        <v>4.0854545454545441</v>
      </c>
    </row>
    <row r="91" spans="1:18" ht="14">
      <c r="A91" s="239"/>
      <c r="B91" s="251" t="s">
        <v>106</v>
      </c>
      <c r="C91" s="641">
        <v>1.363</v>
      </c>
      <c r="D91" s="641">
        <v>2.1036999999999999</v>
      </c>
      <c r="E91" s="641">
        <v>1.0645</v>
      </c>
      <c r="F91" s="643">
        <v>1.5264</v>
      </c>
      <c r="G91" s="645">
        <v>17.57</v>
      </c>
      <c r="H91" s="645">
        <v>37.68</v>
      </c>
      <c r="I91" s="645">
        <v>1.1386000000000001</v>
      </c>
      <c r="J91" s="645">
        <v>4.21</v>
      </c>
      <c r="K91" s="645">
        <v>1.3551900000000001</v>
      </c>
      <c r="L91" s="645">
        <v>2.0780550000000004</v>
      </c>
      <c r="M91" s="645">
        <v>1.0563</v>
      </c>
      <c r="N91" s="645">
        <v>1.5386650000000002</v>
      </c>
      <c r="O91" s="645">
        <v>17.473999999999997</v>
      </c>
      <c r="P91" s="643">
        <v>37.665000000000006</v>
      </c>
      <c r="Q91" s="645">
        <v>1.140825</v>
      </c>
      <c r="R91" s="645">
        <v>4.1599999999999993</v>
      </c>
    </row>
    <row r="92" spans="1:18" ht="14">
      <c r="A92" s="239"/>
      <c r="B92" s="251" t="s">
        <v>107</v>
      </c>
      <c r="C92" s="641">
        <v>1.3725000000000001</v>
      </c>
      <c r="D92" s="641">
        <v>2.0333999999999999</v>
      </c>
      <c r="E92" s="641">
        <v>1.044</v>
      </c>
      <c r="F92" s="645">
        <v>1.4728000000000001</v>
      </c>
      <c r="G92" s="645">
        <v>17.7</v>
      </c>
      <c r="H92" s="645">
        <v>37.04</v>
      </c>
      <c r="I92" s="645">
        <v>1.1423000000000001</v>
      </c>
      <c r="J92" s="643">
        <v>4.22</v>
      </c>
      <c r="K92" s="645">
        <v>1.3769499999999999</v>
      </c>
      <c r="L92" s="645">
        <v>2.0612818181818184</v>
      </c>
      <c r="M92" s="645">
        <v>1.0643318181818182</v>
      </c>
      <c r="N92" s="645">
        <v>1.4907545454545454</v>
      </c>
      <c r="O92" s="645">
        <v>17.747727272727275</v>
      </c>
      <c r="P92" s="645">
        <v>37.399090909090908</v>
      </c>
      <c r="Q92" s="645">
        <v>1.1439409090909094</v>
      </c>
      <c r="R92" s="645">
        <v>4.2218181818181826</v>
      </c>
    </row>
    <row r="93" spans="1:18" ht="14">
      <c r="A93" s="239"/>
      <c r="B93" s="251" t="s">
        <v>108</v>
      </c>
      <c r="C93" s="641">
        <v>1.3237000000000001</v>
      </c>
      <c r="D93" s="641">
        <v>2.032</v>
      </c>
      <c r="E93" s="641">
        <v>1.0465</v>
      </c>
      <c r="F93" s="645">
        <v>1.4858</v>
      </c>
      <c r="G93" s="645">
        <v>17.080000000000002</v>
      </c>
      <c r="H93" s="645">
        <v>37.08</v>
      </c>
      <c r="I93" s="645">
        <v>1.1088</v>
      </c>
      <c r="J93" s="645">
        <v>4.01</v>
      </c>
      <c r="K93" s="645">
        <v>1.3485181818181819</v>
      </c>
      <c r="L93" s="645">
        <v>2.0171363636363631</v>
      </c>
      <c r="M93" s="645">
        <v>1.042940909090909</v>
      </c>
      <c r="N93" s="645">
        <v>1.4585954545454543</v>
      </c>
      <c r="O93" s="645">
        <v>17.396363636363635</v>
      </c>
      <c r="P93" s="645">
        <v>37.202727272727273</v>
      </c>
      <c r="Q93" s="645">
        <v>1.128259090909091</v>
      </c>
      <c r="R93" s="645">
        <v>4.1463636363636365</v>
      </c>
    </row>
    <row r="94" spans="1:18" ht="14">
      <c r="A94" s="239"/>
      <c r="B94" s="251" t="s">
        <v>109</v>
      </c>
      <c r="C94" s="641">
        <v>1.3478000000000001</v>
      </c>
      <c r="D94" s="641">
        <v>2.0611999999999999</v>
      </c>
      <c r="E94" s="641">
        <v>1.0303</v>
      </c>
      <c r="F94" s="645">
        <v>1.4799</v>
      </c>
      <c r="G94" s="645">
        <v>17.380000000000003</v>
      </c>
      <c r="H94" s="645">
        <v>36.9</v>
      </c>
      <c r="I94" s="645">
        <v>1.0854999999999999</v>
      </c>
      <c r="J94" s="645">
        <v>4</v>
      </c>
      <c r="K94" s="645">
        <v>1.3348285714285715</v>
      </c>
      <c r="L94" s="645">
        <v>2.0633666666666661</v>
      </c>
      <c r="M94" s="645">
        <v>1.0526809523809524</v>
      </c>
      <c r="N94" s="645">
        <v>1.4892333333333332</v>
      </c>
      <c r="O94" s="645">
        <v>17.217619047619053</v>
      </c>
      <c r="P94" s="645">
        <v>37.046666666666674</v>
      </c>
      <c r="Q94" s="645">
        <v>1.104542857142857</v>
      </c>
      <c r="R94" s="645">
        <v>3.9795238095238097</v>
      </c>
    </row>
    <row r="95" spans="1:18" ht="14">
      <c r="A95" s="239"/>
      <c r="B95" s="251" t="s">
        <v>110</v>
      </c>
      <c r="C95" s="641">
        <v>1.3473999999999999</v>
      </c>
      <c r="D95" s="641">
        <v>2.1175999999999999</v>
      </c>
      <c r="E95" s="641">
        <v>1.0385</v>
      </c>
      <c r="F95" s="645">
        <v>1.5018</v>
      </c>
      <c r="G95" s="645">
        <v>17.380000000000003</v>
      </c>
      <c r="H95" s="645">
        <v>35.92</v>
      </c>
      <c r="I95" s="645">
        <v>1.0999000000000001</v>
      </c>
      <c r="J95" s="643">
        <v>3.9899999999999998</v>
      </c>
      <c r="K95" s="645">
        <v>1.3449181818181821</v>
      </c>
      <c r="L95" s="645">
        <v>2.0962590909090917</v>
      </c>
      <c r="M95" s="645">
        <v>1.0385954545454548</v>
      </c>
      <c r="N95" s="645">
        <v>1.5110409090909087</v>
      </c>
      <c r="O95" s="645">
        <v>17.346363636363638</v>
      </c>
      <c r="P95" s="645">
        <v>36.012727272727268</v>
      </c>
      <c r="Q95" s="645">
        <v>1.087340909090909</v>
      </c>
      <c r="R95" s="645">
        <v>3.989090909090911</v>
      </c>
    </row>
    <row r="96" spans="1:18" ht="14">
      <c r="A96" s="239"/>
      <c r="B96" s="251" t="s">
        <v>117</v>
      </c>
      <c r="C96" s="641">
        <v>1.3722000000000001</v>
      </c>
      <c r="D96" s="641">
        <v>2.1435</v>
      </c>
      <c r="E96" s="641">
        <v>1.0024</v>
      </c>
      <c r="F96" s="645">
        <v>1.5074000000000001</v>
      </c>
      <c r="G96" s="645">
        <v>17.7</v>
      </c>
      <c r="H96" s="645">
        <v>35.86</v>
      </c>
      <c r="I96" s="645">
        <v>1.1076999999999999</v>
      </c>
      <c r="J96" s="645">
        <v>3.92</v>
      </c>
      <c r="K96" s="645">
        <v>1.3612521739130437</v>
      </c>
      <c r="L96" s="645">
        <v>2.1178608695652175</v>
      </c>
      <c r="M96" s="645">
        <v>1.0083608695652173</v>
      </c>
      <c r="N96" s="645">
        <v>1.4971739130434785</v>
      </c>
      <c r="O96" s="645">
        <v>17.559565217391306</v>
      </c>
      <c r="P96" s="645">
        <v>35.786521739130428</v>
      </c>
      <c r="Q96" s="645">
        <v>1.1038043478260871</v>
      </c>
      <c r="R96" s="645">
        <v>3.9647826086956535</v>
      </c>
    </row>
    <row r="97" spans="1:18" ht="14">
      <c r="A97" s="239"/>
      <c r="B97" s="251" t="s">
        <v>112</v>
      </c>
      <c r="C97" s="641">
        <v>1.4117999999999999</v>
      </c>
      <c r="D97" s="641">
        <v>2.1663000000000001</v>
      </c>
      <c r="E97" s="641">
        <v>1.0042</v>
      </c>
      <c r="F97" s="645">
        <v>1.5826</v>
      </c>
      <c r="G97" s="645">
        <v>18.22</v>
      </c>
      <c r="H97" s="645">
        <v>33.75</v>
      </c>
      <c r="I97" s="645">
        <v>1.1644000000000001</v>
      </c>
      <c r="J97" s="645">
        <v>3.94</v>
      </c>
      <c r="K97" s="645">
        <v>1.3984047619047617</v>
      </c>
      <c r="L97" s="645">
        <v>2.1782428571428571</v>
      </c>
      <c r="M97" s="645">
        <v>1.0200047619047621</v>
      </c>
      <c r="N97" s="645">
        <v>1.5585857142857147</v>
      </c>
      <c r="O97" s="645">
        <v>18.034761904761904</v>
      </c>
      <c r="P97" s="645">
        <v>34.456190476190471</v>
      </c>
      <c r="Q97" s="645">
        <v>1.1366714285714286</v>
      </c>
      <c r="R97" s="645">
        <v>3.9480952380952372</v>
      </c>
    </row>
    <row r="98" spans="1:18" ht="14">
      <c r="A98" s="239"/>
      <c r="B98" s="251" t="s">
        <v>113</v>
      </c>
      <c r="C98" s="641">
        <v>1.4225000000000001</v>
      </c>
      <c r="D98" s="641">
        <v>2.1520000000000001</v>
      </c>
      <c r="E98" s="641">
        <v>0.99809999999999999</v>
      </c>
      <c r="F98" s="645">
        <v>1.5895999999999999</v>
      </c>
      <c r="G98" s="645">
        <v>18.350000000000001</v>
      </c>
      <c r="H98" s="645">
        <v>32.379999999999995</v>
      </c>
      <c r="I98" s="645">
        <v>1.1865000000000001</v>
      </c>
      <c r="J98" s="645">
        <v>3.91</v>
      </c>
      <c r="K98" s="645">
        <v>1.4154454545454547</v>
      </c>
      <c r="L98" s="645">
        <v>2.1697000000000002</v>
      </c>
      <c r="M98" s="645">
        <v>0.99853636363636367</v>
      </c>
      <c r="N98" s="645">
        <v>1.5903136363636363</v>
      </c>
      <c r="O98" s="645">
        <v>18.259999999999998</v>
      </c>
      <c r="P98" s="645">
        <v>32.841818181818176</v>
      </c>
      <c r="Q98" s="645">
        <v>1.1785636363636363</v>
      </c>
      <c r="R98" s="645">
        <v>3.9272727272727264</v>
      </c>
    </row>
    <row r="99" spans="1:18" ht="14">
      <c r="A99" s="239"/>
      <c r="B99" s="251" t="s">
        <v>114</v>
      </c>
      <c r="C99" s="645">
        <v>1.4015</v>
      </c>
      <c r="D99" s="645">
        <v>2.1589999999999998</v>
      </c>
      <c r="E99" s="645">
        <v>1.0002</v>
      </c>
      <c r="F99" s="645">
        <v>1.5406</v>
      </c>
      <c r="G99" s="645">
        <v>18.07</v>
      </c>
      <c r="H99" s="645">
        <v>32.590000000000003</v>
      </c>
      <c r="I99" s="645">
        <v>1.161</v>
      </c>
      <c r="J99" s="645">
        <v>3.93</v>
      </c>
      <c r="K99" s="645">
        <v>1.4009090909090909</v>
      </c>
      <c r="L99" s="645">
        <v>2.1479545454545454</v>
      </c>
      <c r="M99" s="645">
        <v>1.0094409090909091</v>
      </c>
      <c r="N99" s="645">
        <v>1.5717045454545451</v>
      </c>
      <c r="O99" s="645">
        <v>18.0745454545455</v>
      </c>
      <c r="P99" s="645">
        <v>32.9031818181818</v>
      </c>
      <c r="Q99" s="645">
        <v>1.1658045454545454</v>
      </c>
      <c r="R99" s="645">
        <v>3.9240909090909097</v>
      </c>
    </row>
    <row r="100" spans="1:18" ht="14">
      <c r="A100" s="239"/>
      <c r="B100" s="251" t="s">
        <v>115</v>
      </c>
      <c r="C100" s="645">
        <v>1.4109</v>
      </c>
      <c r="D100" s="645">
        <v>2.1242999999999999</v>
      </c>
      <c r="E100" s="645">
        <v>1.0199</v>
      </c>
      <c r="F100" s="645">
        <v>1.4906999999999999</v>
      </c>
      <c r="G100" s="645">
        <v>18.2</v>
      </c>
      <c r="H100" s="645">
        <v>33.159999999999997</v>
      </c>
      <c r="I100" s="645">
        <v>1.1459999999999999</v>
      </c>
      <c r="J100" s="645">
        <v>3.94</v>
      </c>
      <c r="K100" s="645">
        <v>1.4138190476190478</v>
      </c>
      <c r="L100" s="645">
        <v>2.1483571428571429</v>
      </c>
      <c r="M100" s="645">
        <v>1.0109571428571429</v>
      </c>
      <c r="N100" s="645">
        <v>1.5169999999999999</v>
      </c>
      <c r="O100" s="645">
        <v>18.241904761904799</v>
      </c>
      <c r="P100" s="645">
        <v>32.759523809523799</v>
      </c>
      <c r="Q100" s="645">
        <v>1.1529571428571428</v>
      </c>
      <c r="R100" s="645">
        <v>3.9509523809523799</v>
      </c>
    </row>
    <row r="101" spans="1:18" ht="14">
      <c r="A101" s="239"/>
      <c r="B101" s="251" t="s">
        <v>116</v>
      </c>
      <c r="C101" s="645">
        <v>1.4178999999999999</v>
      </c>
      <c r="D101" s="645">
        <v>2.0891000000000002</v>
      </c>
      <c r="E101" s="645">
        <v>1.0331999999999999</v>
      </c>
      <c r="F101" s="645">
        <v>1.5399</v>
      </c>
      <c r="G101" s="645">
        <v>18.3</v>
      </c>
      <c r="H101" s="645">
        <v>32.96</v>
      </c>
      <c r="I101" s="645">
        <v>1.1794</v>
      </c>
      <c r="J101" s="645">
        <v>3.94</v>
      </c>
      <c r="K101" s="645">
        <v>1.4077869565217389</v>
      </c>
      <c r="L101" s="645">
        <v>2.1085217391304352</v>
      </c>
      <c r="M101" s="645">
        <v>1.0207521739130434</v>
      </c>
      <c r="N101" s="645">
        <v>1.5344086956521741</v>
      </c>
      <c r="O101" s="645">
        <v>18.1621739130435</v>
      </c>
      <c r="P101" s="645">
        <v>32.880434782608702</v>
      </c>
      <c r="Q101" s="645">
        <v>1.1580217391304346</v>
      </c>
      <c r="R101" s="645">
        <v>3.9086956521739142</v>
      </c>
    </row>
    <row r="102" spans="1:18" ht="14">
      <c r="A102" s="238">
        <v>2016</v>
      </c>
      <c r="B102" s="272" t="s">
        <v>105</v>
      </c>
      <c r="C102" s="639">
        <v>1.4242999999999999</v>
      </c>
      <c r="D102" s="637">
        <v>2.0284</v>
      </c>
      <c r="E102" s="639">
        <v>1.0086999999999999</v>
      </c>
      <c r="F102" s="637">
        <v>1.5426</v>
      </c>
      <c r="G102" s="639">
        <v>18.3</v>
      </c>
      <c r="H102" s="637">
        <v>34.33</v>
      </c>
      <c r="I102" s="639">
        <v>1.1757</v>
      </c>
      <c r="J102" s="637">
        <v>3.99</v>
      </c>
      <c r="K102" s="639">
        <v>1.4323999999999999</v>
      </c>
      <c r="L102" s="637">
        <v>2.0621</v>
      </c>
      <c r="M102" s="639">
        <v>1.0044</v>
      </c>
      <c r="N102" s="637">
        <v>1.5564</v>
      </c>
      <c r="O102" s="639">
        <v>18.41</v>
      </c>
      <c r="P102" s="637">
        <v>33</v>
      </c>
      <c r="Q102" s="639">
        <v>1.2210000000000001</v>
      </c>
      <c r="R102" s="640">
        <v>3.9633000000000003</v>
      </c>
    </row>
    <row r="103" spans="1:18" ht="14">
      <c r="A103" s="239"/>
      <c r="B103" s="273" t="s">
        <v>106</v>
      </c>
      <c r="C103" s="645">
        <v>1.4067000000000001</v>
      </c>
      <c r="D103" s="643">
        <v>1.9573</v>
      </c>
      <c r="E103" s="645">
        <v>1.0044999999999999</v>
      </c>
      <c r="F103" s="643">
        <v>1.5296000000000001</v>
      </c>
      <c r="G103" s="645">
        <v>18.09</v>
      </c>
      <c r="H103" s="643">
        <v>33.43</v>
      </c>
      <c r="I103" s="645">
        <v>1.2481</v>
      </c>
      <c r="J103" s="643">
        <v>3.94</v>
      </c>
      <c r="K103" s="645">
        <v>1.4047000000000001</v>
      </c>
      <c r="L103" s="643">
        <v>2.0106999999999999</v>
      </c>
      <c r="M103" s="645">
        <v>1.0028999999999999</v>
      </c>
      <c r="N103" s="643">
        <v>1.5596000000000001</v>
      </c>
      <c r="O103" s="645">
        <v>18.04</v>
      </c>
      <c r="P103" s="643">
        <v>33.56</v>
      </c>
      <c r="Q103" s="645">
        <v>1.2254</v>
      </c>
      <c r="R103" s="646">
        <v>3.9438</v>
      </c>
    </row>
    <row r="104" spans="1:18" ht="14">
      <c r="A104" s="239"/>
      <c r="B104" s="273" t="s">
        <v>107</v>
      </c>
      <c r="C104" s="645">
        <v>1.3483000000000001</v>
      </c>
      <c r="D104" s="643">
        <v>1.9363999999999999</v>
      </c>
      <c r="E104" s="645">
        <v>1.0324</v>
      </c>
      <c r="F104" s="643">
        <v>1.5344</v>
      </c>
      <c r="G104" s="645">
        <v>17.38</v>
      </c>
      <c r="H104" s="643">
        <v>34.729999999999997</v>
      </c>
      <c r="I104" s="645">
        <v>1.1978</v>
      </c>
      <c r="J104" s="643">
        <v>3.84</v>
      </c>
      <c r="K104" s="645">
        <v>1.3714</v>
      </c>
      <c r="L104" s="643">
        <v>1.9544999999999999</v>
      </c>
      <c r="M104" s="645">
        <v>1.0297000000000001</v>
      </c>
      <c r="N104" s="643">
        <v>1.5278</v>
      </c>
      <c r="O104" s="645">
        <v>17.670000000000002</v>
      </c>
      <c r="P104" s="643">
        <v>33.799999999999997</v>
      </c>
      <c r="Q104" s="645">
        <v>1.2142999999999999</v>
      </c>
      <c r="R104" s="646">
        <v>3.8961000000000001</v>
      </c>
    </row>
    <row r="105" spans="1:18" ht="14">
      <c r="A105" s="239"/>
      <c r="B105" s="273" t="s">
        <v>108</v>
      </c>
      <c r="C105" s="645">
        <v>1.3441000000000001</v>
      </c>
      <c r="D105" s="643">
        <v>1.9634</v>
      </c>
      <c r="E105" s="645">
        <v>1.0222</v>
      </c>
      <c r="F105" s="643">
        <v>1.5395000000000001</v>
      </c>
      <c r="G105" s="645">
        <v>17.330000000000002</v>
      </c>
      <c r="H105" s="643">
        <v>34.35</v>
      </c>
      <c r="I105" s="645">
        <v>1.2636000000000001</v>
      </c>
      <c r="J105" s="643">
        <v>3.85</v>
      </c>
      <c r="K105" s="645">
        <v>1.3497761904761902</v>
      </c>
      <c r="L105" s="643">
        <v>1.9319952380952377</v>
      </c>
      <c r="M105" s="645">
        <v>1.0343047619047621</v>
      </c>
      <c r="N105" s="643">
        <v>1.5307380952380951</v>
      </c>
      <c r="O105" s="645">
        <v>17.400952380952383</v>
      </c>
      <c r="P105" s="643">
        <v>34.642857142857139</v>
      </c>
      <c r="Q105" s="645">
        <v>1.2320333333333333</v>
      </c>
      <c r="R105" s="646">
        <v>3.8476190476190477</v>
      </c>
    </row>
    <row r="106" spans="1:18" ht="14">
      <c r="A106" s="239"/>
      <c r="B106" s="273" t="s">
        <v>109</v>
      </c>
      <c r="C106" s="645">
        <v>1.3775999999999999</v>
      </c>
      <c r="D106" s="643">
        <v>1.9961</v>
      </c>
      <c r="E106" s="645">
        <v>0.99660000000000004</v>
      </c>
      <c r="F106" s="643">
        <v>1.5336000000000001</v>
      </c>
      <c r="G106" s="645">
        <v>17.73</v>
      </c>
      <c r="H106" s="643">
        <v>33.489999999999995</v>
      </c>
      <c r="I106" s="645">
        <v>1.2442</v>
      </c>
      <c r="J106" s="643">
        <v>3.85</v>
      </c>
      <c r="K106" s="645">
        <v>1.3707181818181817</v>
      </c>
      <c r="L106" s="643">
        <v>1.9908909090909086</v>
      </c>
      <c r="M106" s="645">
        <v>1.0019227272727271</v>
      </c>
      <c r="N106" s="643">
        <v>1.5484818181818183</v>
      </c>
      <c r="O106" s="645">
        <v>17.654999999999994</v>
      </c>
      <c r="P106" s="643">
        <v>33.86363636363636</v>
      </c>
      <c r="Q106" s="645">
        <v>1.2577227272727276</v>
      </c>
      <c r="R106" s="646">
        <v>3.8677272727272727</v>
      </c>
    </row>
    <row r="107" spans="1:18" ht="14">
      <c r="A107" s="239"/>
      <c r="B107" s="273" t="s">
        <v>110</v>
      </c>
      <c r="C107" s="645">
        <v>1.347</v>
      </c>
      <c r="D107" s="643">
        <v>1.7946</v>
      </c>
      <c r="E107" s="645">
        <v>1.0038</v>
      </c>
      <c r="F107" s="643">
        <v>1.4961</v>
      </c>
      <c r="G107" s="645">
        <v>17.330000000000002</v>
      </c>
      <c r="H107" s="643">
        <v>34.35</v>
      </c>
      <c r="I107" s="645">
        <v>1.2636000000000001</v>
      </c>
      <c r="J107" s="643">
        <v>3.85</v>
      </c>
      <c r="K107" s="645">
        <v>1.3529227272727271</v>
      </c>
      <c r="L107" s="643">
        <v>1.9224954545454545</v>
      </c>
      <c r="M107" s="645">
        <v>1.0022454545454544</v>
      </c>
      <c r="N107" s="643">
        <v>1.5206727272727272</v>
      </c>
      <c r="O107" s="645">
        <v>17.43</v>
      </c>
      <c r="P107" s="643">
        <v>33.274999999999999</v>
      </c>
      <c r="Q107" s="645">
        <v>1.2833227272727277</v>
      </c>
      <c r="R107" s="646">
        <v>3.8372727272727265</v>
      </c>
    </row>
    <row r="108" spans="1:18" ht="14">
      <c r="A108" s="239"/>
      <c r="B108" s="273" t="s">
        <v>117</v>
      </c>
      <c r="C108" s="645">
        <v>1.341</v>
      </c>
      <c r="D108" s="643">
        <v>1.7733000000000001</v>
      </c>
      <c r="E108" s="645">
        <v>1.018</v>
      </c>
      <c r="F108" s="643">
        <v>1.5001</v>
      </c>
      <c r="G108" s="645">
        <f>0.1728*100</f>
        <v>17.28</v>
      </c>
      <c r="H108" s="643">
        <f>0.3331*100</f>
        <v>33.31</v>
      </c>
      <c r="I108" s="645">
        <v>1.3139000000000001</v>
      </c>
      <c r="J108" s="643">
        <f>0.0386*100</f>
        <v>3.8600000000000003</v>
      </c>
      <c r="K108" s="645">
        <v>1.3506619047619051</v>
      </c>
      <c r="L108" s="643">
        <v>1.7761761904761908</v>
      </c>
      <c r="M108" s="645">
        <v>1.017004761904762</v>
      </c>
      <c r="N108" s="643">
        <v>1.4945761904761901</v>
      </c>
      <c r="O108" s="645">
        <f>0.174104761904762*100</f>
        <v>17.410476190476203</v>
      </c>
      <c r="P108" s="643">
        <f>0.33602380952381*100</f>
        <v>33.602380952380997</v>
      </c>
      <c r="Q108" s="645">
        <v>1.2981761904761906</v>
      </c>
      <c r="R108" s="646">
        <f>0.0385285714285714*100</f>
        <v>3.8528571428571396</v>
      </c>
    </row>
    <row r="109" spans="1:18" ht="14">
      <c r="A109" s="239"/>
      <c r="B109" s="273" t="s">
        <v>112</v>
      </c>
      <c r="C109" s="645">
        <v>1.3626</v>
      </c>
      <c r="D109" s="643">
        <v>1.7902</v>
      </c>
      <c r="E109" s="645">
        <v>1.0244</v>
      </c>
      <c r="F109" s="643">
        <v>1.5202</v>
      </c>
      <c r="G109" s="645">
        <f>0.1756*100</f>
        <v>17.560000000000002</v>
      </c>
      <c r="H109" s="643">
        <f>0.3326*100</f>
        <v>33.26</v>
      </c>
      <c r="I109" s="645">
        <v>1.3172999999999999</v>
      </c>
      <c r="J109" s="643">
        <f>0.0394*100</f>
        <v>3.94</v>
      </c>
      <c r="K109" s="645">
        <v>1.347973913043478</v>
      </c>
      <c r="L109" s="643">
        <v>1.7664086956521741</v>
      </c>
      <c r="M109" s="645">
        <v>1.0274434782608699</v>
      </c>
      <c r="N109" s="643">
        <v>1.5104347826086955</v>
      </c>
      <c r="O109" s="645">
        <f>0.173786956521739*100</f>
        <v>17.378695652173899</v>
      </c>
      <c r="P109" s="643">
        <f>0.334726086956522*100</f>
        <v>33.472608695652198</v>
      </c>
      <c r="Q109" s="645">
        <v>1.3305391304347822</v>
      </c>
      <c r="R109" s="646">
        <f>0.0388130434782609*100</f>
        <v>3.8813043478260902</v>
      </c>
    </row>
    <row r="110" spans="1:18" ht="14">
      <c r="A110" s="239"/>
      <c r="B110" s="273" t="s">
        <v>113</v>
      </c>
      <c r="C110" s="645">
        <v>1.3629</v>
      </c>
      <c r="D110" s="643">
        <v>1.7679</v>
      </c>
      <c r="E110" s="645">
        <v>1.0442</v>
      </c>
      <c r="F110" s="643">
        <v>1.5354000000000001</v>
      </c>
      <c r="G110" s="645">
        <f>0.1758*100</f>
        <v>17.580000000000002</v>
      </c>
      <c r="H110" s="643">
        <f>0.3303*100</f>
        <v>33.03</v>
      </c>
      <c r="I110" s="645">
        <v>1.3452999999999999</v>
      </c>
      <c r="J110" s="643">
        <f>0.0394*100</f>
        <v>3.94</v>
      </c>
      <c r="K110" s="645">
        <v>1.3589727272727272</v>
      </c>
      <c r="L110" s="643">
        <v>1.7867909090909093</v>
      </c>
      <c r="M110" s="645">
        <v>1.0317227272727274</v>
      </c>
      <c r="N110" s="643">
        <v>1.5239318181818182</v>
      </c>
      <c r="O110" s="645">
        <f>0.175195454545455*100</f>
        <v>17.519545454545497</v>
      </c>
      <c r="P110" s="643">
        <f>0.3308*100</f>
        <v>33.08</v>
      </c>
      <c r="Q110" s="645">
        <v>1.3346454545454545</v>
      </c>
      <c r="R110" s="646">
        <f>0.0391363636363636*100</f>
        <v>3.91363636363636</v>
      </c>
    </row>
    <row r="111" spans="1:18" ht="14">
      <c r="A111" s="239"/>
      <c r="B111" s="273" t="s">
        <v>114</v>
      </c>
      <c r="C111" s="645">
        <v>1.3911</v>
      </c>
      <c r="D111" s="643">
        <v>1.7047000000000001</v>
      </c>
      <c r="E111" s="645">
        <v>1.0585</v>
      </c>
      <c r="F111" s="643">
        <v>1.5275000000000001</v>
      </c>
      <c r="G111" s="645">
        <f>0.1794*100</f>
        <v>17.940000000000001</v>
      </c>
      <c r="H111" s="643">
        <f>0.3315*100</f>
        <v>33.15</v>
      </c>
      <c r="I111" s="645">
        <v>1.3270999999999999</v>
      </c>
      <c r="J111" s="643">
        <v>3.9699999999999998</v>
      </c>
      <c r="K111" s="645">
        <v>1.3839000000000001</v>
      </c>
      <c r="L111" s="643">
        <v>1.7068809523809523</v>
      </c>
      <c r="M111" s="645">
        <v>1.0539285714285713</v>
      </c>
      <c r="N111" s="643">
        <v>1.525657142857143</v>
      </c>
      <c r="O111" s="645">
        <f>0.178395238095238*100</f>
        <v>17.839523809523801</v>
      </c>
      <c r="P111" s="643">
        <f>0.331466666666667*100</f>
        <v>33.146666666666704</v>
      </c>
      <c r="Q111" s="645">
        <v>1.3326047619047621</v>
      </c>
      <c r="R111" s="646">
        <v>3.9466666666666672</v>
      </c>
    </row>
    <row r="112" spans="1:18" ht="14">
      <c r="A112" s="239"/>
      <c r="B112" s="273" t="s">
        <v>115</v>
      </c>
      <c r="C112" s="645">
        <v>1.4335</v>
      </c>
      <c r="D112" s="643">
        <v>1.7907999999999999</v>
      </c>
      <c r="E112" s="645">
        <v>1.0588</v>
      </c>
      <c r="F112" s="643">
        <v>1.5184</v>
      </c>
      <c r="G112" s="645">
        <f>0.1848*100</f>
        <v>18.48</v>
      </c>
      <c r="H112" s="643">
        <f>0.3208*100</f>
        <v>32.08</v>
      </c>
      <c r="I112" s="645">
        <v>1.2524</v>
      </c>
      <c r="J112" s="643">
        <v>4.0199999999999996</v>
      </c>
      <c r="K112" s="645">
        <v>1.4114000000000002</v>
      </c>
      <c r="L112" s="643">
        <v>1.7559636363636364</v>
      </c>
      <c r="M112" s="645">
        <v>1.0624909090909092</v>
      </c>
      <c r="N112" s="643">
        <v>1.5223045454545456</v>
      </c>
      <c r="O112" s="645">
        <f>0.181977272727273*100</f>
        <v>18.197727272727299</v>
      </c>
      <c r="P112" s="643">
        <f>0.325122727272727*100</f>
        <v>32.512272727272702</v>
      </c>
      <c r="Q112" s="645">
        <v>1.3002772727272727</v>
      </c>
      <c r="R112" s="646">
        <v>3.9913636363636358</v>
      </c>
    </row>
    <row r="113" spans="1:18" ht="14">
      <c r="A113" s="240"/>
      <c r="B113" s="274" t="s">
        <v>116</v>
      </c>
      <c r="C113" s="651">
        <v>1.4460999999999999</v>
      </c>
      <c r="D113" s="649">
        <v>1.7859</v>
      </c>
      <c r="E113" s="651">
        <v>1.0419</v>
      </c>
      <c r="F113" s="649">
        <v>1.5218</v>
      </c>
      <c r="G113" s="651">
        <f>0.1866*100</f>
        <v>18.66</v>
      </c>
      <c r="H113" s="649">
        <f>0.3223*100</f>
        <v>32.229999999999997</v>
      </c>
      <c r="I113" s="651">
        <v>1.2364999999999999</v>
      </c>
      <c r="J113" s="649">
        <v>4.04</v>
      </c>
      <c r="K113" s="651">
        <v>1.4367681818181817</v>
      </c>
      <c r="L113" s="649">
        <v>1.7919181818181813</v>
      </c>
      <c r="M113" s="651">
        <v>1.0537727272727271</v>
      </c>
      <c r="N113" s="649">
        <v>1.5139772727272727</v>
      </c>
      <c r="O113" s="651">
        <f>0.185186363636364*100</f>
        <v>18.5186363636364</v>
      </c>
      <c r="P113" s="649">
        <f>0.322072727272727*100</f>
        <v>32.207272727272702</v>
      </c>
      <c r="Q113" s="651">
        <v>1.2375318181818182</v>
      </c>
      <c r="R113" s="652">
        <v>4.0136363636363654</v>
      </c>
    </row>
    <row r="114" spans="1:18" ht="14">
      <c r="A114" s="238">
        <v>2017</v>
      </c>
      <c r="B114" s="272" t="s">
        <v>105</v>
      </c>
      <c r="C114" s="639">
        <v>1.4097999999999999</v>
      </c>
      <c r="D114" s="637">
        <v>1.7732000000000001</v>
      </c>
      <c r="E114" s="639">
        <v>1.0694999999999999</v>
      </c>
      <c r="F114" s="637">
        <v>1.5221</v>
      </c>
      <c r="G114" s="639">
        <v>18.170000000000002</v>
      </c>
      <c r="H114" s="637">
        <f>0.3183*100</f>
        <v>31.830000000000002</v>
      </c>
      <c r="I114" s="639">
        <v>1.25</v>
      </c>
      <c r="J114" s="637">
        <v>4.0199999999999996</v>
      </c>
      <c r="K114" s="639">
        <v>1.4287000000000001</v>
      </c>
      <c r="L114" s="637">
        <v>1.7648999999999999</v>
      </c>
      <c r="M114" s="639">
        <v>1.0656000000000001</v>
      </c>
      <c r="N114" s="637">
        <v>1.5187999999999999</v>
      </c>
      <c r="O114" s="639">
        <f>0.1842*100</f>
        <v>18.420000000000002</v>
      </c>
      <c r="P114" s="637">
        <f>0.3207*100</f>
        <v>32.07</v>
      </c>
      <c r="Q114" s="639">
        <v>1.2432000000000001</v>
      </c>
      <c r="R114" s="640">
        <v>4.03</v>
      </c>
    </row>
    <row r="115" spans="1:18" ht="14">
      <c r="A115" s="239"/>
      <c r="B115" s="273" t="s">
        <v>106</v>
      </c>
      <c r="C115" s="645">
        <v>1.4025000000000001</v>
      </c>
      <c r="D115" s="643">
        <v>1.7374000000000001</v>
      </c>
      <c r="E115" s="645">
        <v>1.0741000000000001</v>
      </c>
      <c r="F115" s="643">
        <v>1.484</v>
      </c>
      <c r="G115" s="645">
        <v>18.07</v>
      </c>
      <c r="H115" s="643">
        <f>0.316*100</f>
        <v>31.6</v>
      </c>
      <c r="I115" s="645">
        <v>1.244</v>
      </c>
      <c r="J115" s="643">
        <v>4.0199999999999996</v>
      </c>
      <c r="K115" s="645">
        <v>1.4142999999999999</v>
      </c>
      <c r="L115" s="643">
        <v>1.7658</v>
      </c>
      <c r="M115" s="645">
        <v>1.0842000000000001</v>
      </c>
      <c r="N115" s="643">
        <v>1.5048999999999999</v>
      </c>
      <c r="O115" s="645">
        <f>0.1823*100</f>
        <v>18.23</v>
      </c>
      <c r="P115" s="643">
        <f>0.3183*100</f>
        <v>31.830000000000002</v>
      </c>
      <c r="Q115" s="645">
        <v>1.2519</v>
      </c>
      <c r="R115" s="646">
        <v>4.0395000000000003</v>
      </c>
    </row>
    <row r="116" spans="1:18" ht="14">
      <c r="A116" s="239"/>
      <c r="B116" s="273" t="s">
        <v>107</v>
      </c>
      <c r="C116" s="645">
        <v>1.3973</v>
      </c>
      <c r="D116" s="643">
        <v>1.7515000000000001</v>
      </c>
      <c r="E116" s="645">
        <v>1.0658000000000001</v>
      </c>
      <c r="F116" s="643">
        <v>1.488</v>
      </c>
      <c r="G116" s="645">
        <v>17.98</v>
      </c>
      <c r="H116" s="643">
        <f>0.3157*100</f>
        <v>31.569999999999997</v>
      </c>
      <c r="I116" s="645">
        <v>1.2544999999999999</v>
      </c>
      <c r="J116" s="643">
        <v>4.07</v>
      </c>
      <c r="K116" s="645">
        <v>1.405</v>
      </c>
      <c r="L116" s="643">
        <v>1.7344999999999999</v>
      </c>
      <c r="M116" s="645">
        <v>1.071</v>
      </c>
      <c r="N116" s="643">
        <v>1.5015000000000001</v>
      </c>
      <c r="O116" s="645">
        <f>0.1809*100</f>
        <v>18.09</v>
      </c>
      <c r="P116" s="643">
        <f>0.3166*100</f>
        <v>31.66</v>
      </c>
      <c r="Q116" s="645">
        <v>1.2444</v>
      </c>
      <c r="R116" s="646">
        <v>4.0304000000000002</v>
      </c>
    </row>
    <row r="117" spans="1:18" ht="14">
      <c r="A117" s="239"/>
      <c r="B117" s="273" t="s">
        <v>108</v>
      </c>
      <c r="C117" s="645">
        <v>1.3967000000000001</v>
      </c>
      <c r="D117" s="643">
        <v>1.8096000000000001</v>
      </c>
      <c r="E117" s="645">
        <v>1.0465</v>
      </c>
      <c r="F117" s="643">
        <v>1.5219</v>
      </c>
      <c r="G117" s="645">
        <v>17.96</v>
      </c>
      <c r="H117" s="643">
        <v>32.18</v>
      </c>
      <c r="I117" s="645">
        <v>1.2528999999999999</v>
      </c>
      <c r="J117" s="643">
        <v>4.04</v>
      </c>
      <c r="K117" s="645">
        <v>1.3984399999999999</v>
      </c>
      <c r="L117" s="643">
        <v>1.7681200000000001</v>
      </c>
      <c r="M117" s="645">
        <v>1.0537799999999999</v>
      </c>
      <c r="N117" s="643">
        <v>1.4987999999999997</v>
      </c>
      <c r="O117" s="645">
        <v>17.9895</v>
      </c>
      <c r="P117" s="643">
        <v>31.745999999999995</v>
      </c>
      <c r="Q117" s="645">
        <v>1.270915</v>
      </c>
      <c r="R117" s="646">
        <v>4.0599999999999987</v>
      </c>
    </row>
    <row r="118" spans="1:18" ht="14">
      <c r="A118" s="239"/>
      <c r="B118" s="273" t="s">
        <v>109</v>
      </c>
      <c r="C118" s="645">
        <v>1.3832</v>
      </c>
      <c r="D118" s="643">
        <v>1.7829999999999999</v>
      </c>
      <c r="E118" s="645">
        <v>1.0277000000000001</v>
      </c>
      <c r="F118" s="643">
        <v>1.5552999999999999</v>
      </c>
      <c r="G118" s="645">
        <v>17.75</v>
      </c>
      <c r="H118" s="643">
        <v>32.24</v>
      </c>
      <c r="I118" s="645">
        <v>1.2484</v>
      </c>
      <c r="J118" s="643">
        <v>4.0599999999999996</v>
      </c>
      <c r="K118" s="645">
        <v>1.3947347826086955</v>
      </c>
      <c r="L118" s="643">
        <v>1.8024956521739128</v>
      </c>
      <c r="M118" s="645">
        <v>1.0370521739130436</v>
      </c>
      <c r="N118" s="643">
        <v>1.5421304347826088</v>
      </c>
      <c r="O118" s="645">
        <v>17.912608695652175</v>
      </c>
      <c r="P118" s="643">
        <v>32.312173913043473</v>
      </c>
      <c r="Q118" s="645">
        <v>1.2426391304347826</v>
      </c>
      <c r="R118" s="646">
        <v>4.0482608695652162</v>
      </c>
    </row>
    <row r="119" spans="1:18" ht="14">
      <c r="A119" s="239"/>
      <c r="B119" s="273" t="s">
        <v>110</v>
      </c>
      <c r="C119" s="645">
        <v>1.3764000000000001</v>
      </c>
      <c r="D119" s="643">
        <v>1.7927</v>
      </c>
      <c r="E119" s="645">
        <v>1.0582</v>
      </c>
      <c r="F119" s="643">
        <v>1.5729</v>
      </c>
      <c r="G119" s="645">
        <v>17.630000000000003</v>
      </c>
      <c r="H119" s="643">
        <v>32.029999999999994</v>
      </c>
      <c r="I119" s="645">
        <v>1.2251000000000001</v>
      </c>
      <c r="J119" s="643">
        <v>4.0599999999999996</v>
      </c>
      <c r="K119" s="645">
        <v>1.3836409090909092</v>
      </c>
      <c r="L119" s="643">
        <v>1.7729863636363634</v>
      </c>
      <c r="M119" s="645">
        <v>1.0461181818181817</v>
      </c>
      <c r="N119" s="643">
        <v>1.5548454545454549</v>
      </c>
      <c r="O119" s="645">
        <v>17.742727272727272</v>
      </c>
      <c r="P119" s="643">
        <v>32.334545454545449</v>
      </c>
      <c r="Q119" s="645">
        <v>1.2469636363636365</v>
      </c>
      <c r="R119" s="646">
        <v>4.0699999999999985</v>
      </c>
    </row>
    <row r="120" spans="1:18" ht="14">
      <c r="A120" s="239"/>
      <c r="B120" s="273" t="s">
        <v>117</v>
      </c>
      <c r="C120" s="645">
        <v>1.3551</v>
      </c>
      <c r="D120" s="643">
        <v>1.7921</v>
      </c>
      <c r="E120" s="645">
        <v>1.0844</v>
      </c>
      <c r="F120" s="643">
        <v>1.6045</v>
      </c>
      <c r="G120" s="645">
        <v>17.349999999999998</v>
      </c>
      <c r="H120" s="643">
        <v>31.64</v>
      </c>
      <c r="I120" s="645">
        <v>1.2289000000000001</v>
      </c>
      <c r="J120" s="643">
        <v>4.07</v>
      </c>
      <c r="K120" s="645">
        <v>1.3707190476190476</v>
      </c>
      <c r="L120" s="643">
        <v>1.7818904761904761</v>
      </c>
      <c r="M120" s="645">
        <v>1.0696952380952378</v>
      </c>
      <c r="N120" s="643">
        <v>1.5806857142857145</v>
      </c>
      <c r="O120" s="645">
        <v>17.554761904761907</v>
      </c>
      <c r="P120" s="643">
        <v>31.951428571428576</v>
      </c>
      <c r="Q120" s="645">
        <v>1.2197476190476191</v>
      </c>
      <c r="R120" s="646">
        <v>4.0657142857142841</v>
      </c>
    </row>
    <row r="121" spans="1:18" ht="14">
      <c r="A121" s="239"/>
      <c r="B121" s="273" t="s">
        <v>112</v>
      </c>
      <c r="C121" s="645">
        <v>1.3556999999999999</v>
      </c>
      <c r="D121" s="643">
        <v>1.7529999999999999</v>
      </c>
      <c r="E121" s="645">
        <v>1.0771999999999999</v>
      </c>
      <c r="F121" s="643">
        <v>1.6149</v>
      </c>
      <c r="G121" s="645">
        <v>17.32</v>
      </c>
      <c r="H121" s="643">
        <v>31.740000000000002</v>
      </c>
      <c r="I121" s="645">
        <v>1.2326999999999999</v>
      </c>
      <c r="J121" s="643">
        <v>4.09</v>
      </c>
      <c r="K121" s="645">
        <v>1.3608173913043478</v>
      </c>
      <c r="L121" s="643">
        <v>1.7629782608695657</v>
      </c>
      <c r="M121" s="645">
        <v>1.0771043478260871</v>
      </c>
      <c r="N121" s="643">
        <v>1.6082043478260868</v>
      </c>
      <c r="O121" s="645">
        <v>17.398695652173917</v>
      </c>
      <c r="P121" s="643">
        <v>31.768260869565225</v>
      </c>
      <c r="Q121" s="645">
        <v>1.2389565217391307</v>
      </c>
      <c r="R121" s="646">
        <v>4.0930434782608698</v>
      </c>
    </row>
    <row r="122" spans="1:18" ht="14">
      <c r="A122" s="239"/>
      <c r="B122" s="251" t="s">
        <v>113</v>
      </c>
      <c r="C122" s="645">
        <v>1.3575999999999999</v>
      </c>
      <c r="D122" s="643">
        <v>1.82</v>
      </c>
      <c r="E122" s="645">
        <v>1.0638000000000001</v>
      </c>
      <c r="F122" s="643">
        <v>1.6039000000000001</v>
      </c>
      <c r="G122" s="645">
        <v>17.380000000000003</v>
      </c>
      <c r="H122" s="643">
        <v>32.15</v>
      </c>
      <c r="I122" s="645">
        <v>1.2064999999999999</v>
      </c>
      <c r="J122" s="643">
        <v>4.08</v>
      </c>
      <c r="K122" s="645">
        <v>1.3502000000000003</v>
      </c>
      <c r="L122" s="643">
        <v>1.7984047619047618</v>
      </c>
      <c r="M122" s="645">
        <v>1.0756714285714284</v>
      </c>
      <c r="N122" s="643">
        <v>1.6074714285714287</v>
      </c>
      <c r="O122" s="645">
        <v>17.279999999999998</v>
      </c>
      <c r="P122" s="643">
        <v>32.043333333333337</v>
      </c>
      <c r="Q122" s="645">
        <v>1.2188285714285714</v>
      </c>
      <c r="R122" s="646">
        <v>4.0728571428571412</v>
      </c>
    </row>
    <row r="123" spans="1:18" ht="14">
      <c r="A123" s="239"/>
      <c r="B123" s="273" t="s">
        <v>114</v>
      </c>
      <c r="C123" s="645">
        <v>1.3628</v>
      </c>
      <c r="D123" s="643">
        <v>1.8104</v>
      </c>
      <c r="E123" s="645">
        <v>1.0432999999999999</v>
      </c>
      <c r="F123" s="643">
        <v>1.5871</v>
      </c>
      <c r="G123" s="645">
        <v>17.47</v>
      </c>
      <c r="H123" s="643">
        <f>0.322*100</f>
        <v>32.200000000000003</v>
      </c>
      <c r="I123" s="645">
        <v>1.1992</v>
      </c>
      <c r="J123" s="643">
        <v>4.1000000000000005</v>
      </c>
      <c r="K123" s="645">
        <v>1.3600363636363637</v>
      </c>
      <c r="L123" s="643">
        <v>1.7947500000000003</v>
      </c>
      <c r="M123" s="645">
        <v>1.0588499999999998</v>
      </c>
      <c r="N123" s="643">
        <v>1.5983590909090908</v>
      </c>
      <c r="O123" s="645">
        <f>0.1742*100</f>
        <v>17.419999999999998</v>
      </c>
      <c r="P123" s="643">
        <f>0.321486363636364*100</f>
        <v>32.148636363636399</v>
      </c>
      <c r="Q123" s="645">
        <v>1.2039500000000003</v>
      </c>
      <c r="R123" s="646">
        <v>4.0913636363636385</v>
      </c>
    </row>
    <row r="124" spans="1:18" ht="14">
      <c r="A124" s="239"/>
      <c r="B124" s="251" t="s">
        <v>115</v>
      </c>
      <c r="C124" s="645">
        <v>1.3482000000000001</v>
      </c>
      <c r="D124" s="643">
        <v>1.8216000000000001</v>
      </c>
      <c r="E124" s="645">
        <v>1.0206999999999999</v>
      </c>
      <c r="F124" s="643">
        <v>1.6046</v>
      </c>
      <c r="G124" s="645">
        <v>17.27</v>
      </c>
      <c r="H124" s="643">
        <f>0.3298*100</f>
        <v>32.979999999999997</v>
      </c>
      <c r="I124" s="645">
        <v>1.1981999999999999</v>
      </c>
      <c r="J124" s="643">
        <v>4.1300000000000008</v>
      </c>
      <c r="K124" s="645">
        <v>1.3554045454545456</v>
      </c>
      <c r="L124" s="643">
        <v>1.79295909090909</v>
      </c>
      <c r="M124" s="645">
        <v>1.0333363636363637</v>
      </c>
      <c r="N124" s="643">
        <v>1.5918181818181816</v>
      </c>
      <c r="O124" s="645">
        <f>0.173659090909091*100</f>
        <v>17.365909090909103</v>
      </c>
      <c r="P124" s="643">
        <f>0.325359090909091*100</f>
        <v>32.535909090909101</v>
      </c>
      <c r="Q124" s="645">
        <v>1.2014227272727274</v>
      </c>
      <c r="R124" s="646">
        <v>4.1195454545454551</v>
      </c>
    </row>
    <row r="125" spans="1:18" ht="14">
      <c r="A125" s="240"/>
      <c r="B125" s="252" t="s">
        <v>116</v>
      </c>
      <c r="C125" s="651">
        <v>1.3372999999999999</v>
      </c>
      <c r="D125" s="649">
        <v>1.8025</v>
      </c>
      <c r="E125" s="651">
        <v>1.0437000000000001</v>
      </c>
      <c r="F125" s="649">
        <v>1.6062000000000001</v>
      </c>
      <c r="G125" s="651">
        <v>17.11</v>
      </c>
      <c r="H125" s="649">
        <f>0.3288*100</f>
        <v>32.879999999999995</v>
      </c>
      <c r="I125" s="651">
        <v>1.1865000000000001</v>
      </c>
      <c r="J125" s="649">
        <v>4.1099999999999994</v>
      </c>
      <c r="K125" s="651">
        <v>1.3459761904761902</v>
      </c>
      <c r="L125" s="649">
        <v>1.8041761904761902</v>
      </c>
      <c r="M125" s="651">
        <v>1.0297619047619047</v>
      </c>
      <c r="N125" s="649">
        <v>1.5932999999999999</v>
      </c>
      <c r="O125" s="651">
        <f>0.172295238095238*100</f>
        <v>17.229523809523801</v>
      </c>
      <c r="P125" s="649">
        <f>0.330076190476191*100</f>
        <v>33.007619047619102</v>
      </c>
      <c r="Q125" s="651">
        <v>1.1919190476190478</v>
      </c>
      <c r="R125" s="652">
        <v>4.123333333333334</v>
      </c>
    </row>
    <row r="126" spans="1:18" ht="14">
      <c r="A126" s="238">
        <v>2018</v>
      </c>
      <c r="B126" s="272" t="s">
        <v>105</v>
      </c>
      <c r="C126" s="639">
        <v>1.3121</v>
      </c>
      <c r="D126" s="637">
        <v>1.8613999999999999</v>
      </c>
      <c r="E126" s="639">
        <v>1.0570999999999999</v>
      </c>
      <c r="F126" s="637">
        <v>1.6288</v>
      </c>
      <c r="G126" s="639">
        <v>16.77</v>
      </c>
      <c r="H126" s="637">
        <f>0.3364*100</f>
        <v>33.64</v>
      </c>
      <c r="I126" s="639">
        <v>1.2017</v>
      </c>
      <c r="J126" s="637">
        <v>4.1900000000000004</v>
      </c>
      <c r="K126" s="639">
        <v>1.3221478260869568</v>
      </c>
      <c r="L126" s="637">
        <v>1.8261391304347827</v>
      </c>
      <c r="M126" s="639">
        <v>1.0510434782608695</v>
      </c>
      <c r="N126" s="637">
        <v>1.6119782608695654</v>
      </c>
      <c r="O126" s="639">
        <f>0.169091304347826*100</f>
        <v>16.9091304347826</v>
      </c>
      <c r="P126" s="637">
        <v>33.405217391304298</v>
      </c>
      <c r="Q126" s="639">
        <v>1.1916260869565216</v>
      </c>
      <c r="R126" s="640">
        <v>4.1426086956521733</v>
      </c>
    </row>
    <row r="127" spans="1:18" ht="14">
      <c r="A127" s="239"/>
      <c r="B127" s="273" t="s">
        <v>106</v>
      </c>
      <c r="C127" s="645">
        <v>1.3249</v>
      </c>
      <c r="D127" s="643">
        <v>1.8233999999999999</v>
      </c>
      <c r="E127" s="645">
        <v>1.0284</v>
      </c>
      <c r="F127" s="643">
        <v>1.6152</v>
      </c>
      <c r="G127" s="645">
        <v>16.93</v>
      </c>
      <c r="H127" s="643">
        <f>0.3377*100</f>
        <v>33.770000000000003</v>
      </c>
      <c r="I127" s="645">
        <v>1.242</v>
      </c>
      <c r="J127" s="643">
        <v>4.21</v>
      </c>
      <c r="K127" s="645">
        <v>1.3196699999999999</v>
      </c>
      <c r="L127" s="643">
        <v>1.8424300000000002</v>
      </c>
      <c r="M127" s="645">
        <v>1.0382950000000002</v>
      </c>
      <c r="N127" s="643">
        <v>1.6289850000000001</v>
      </c>
      <c r="O127" s="645">
        <f>0.16872*100</f>
        <v>16.872</v>
      </c>
      <c r="P127" s="643">
        <v>33.713999999999999</v>
      </c>
      <c r="Q127" s="645">
        <v>1.2237449999999999</v>
      </c>
      <c r="R127" s="646">
        <v>4.1925000000000008</v>
      </c>
    </row>
    <row r="128" spans="1:18" ht="14">
      <c r="A128" s="239"/>
      <c r="B128" s="273" t="s">
        <v>107</v>
      </c>
      <c r="C128" s="645">
        <v>1.3111999999999999</v>
      </c>
      <c r="D128" s="643">
        <v>1.8371999999999999</v>
      </c>
      <c r="E128" s="645">
        <v>1.0073000000000001</v>
      </c>
      <c r="F128" s="643">
        <v>1.6157999999999999</v>
      </c>
      <c r="G128" s="645">
        <v>16.7</v>
      </c>
      <c r="H128" s="643">
        <f>0.3395*100</f>
        <v>33.950000000000003</v>
      </c>
      <c r="I128" s="645">
        <v>1.2341</v>
      </c>
      <c r="J128" s="643">
        <v>4.21</v>
      </c>
      <c r="K128" s="645">
        <v>1.3147772727272728</v>
      </c>
      <c r="L128" s="643">
        <v>1.8376090909090907</v>
      </c>
      <c r="M128" s="645">
        <v>1.0201909090909089</v>
      </c>
      <c r="N128" s="643">
        <v>1.6217272727272729</v>
      </c>
      <c r="O128" s="645">
        <f>0.167663636363636*100</f>
        <v>16.7663636363636</v>
      </c>
      <c r="P128" s="643">
        <v>33.689090909090901</v>
      </c>
      <c r="Q128" s="645">
        <v>1.2394090909090911</v>
      </c>
      <c r="R128" s="646">
        <v>4.205454545454546</v>
      </c>
    </row>
    <row r="129" spans="1:19" ht="14">
      <c r="A129" s="239"/>
      <c r="B129" s="273" t="s">
        <v>108</v>
      </c>
      <c r="C129" s="643">
        <v>1.3259000000000001</v>
      </c>
      <c r="D129" s="645">
        <v>1.8247</v>
      </c>
      <c r="E129" s="645">
        <v>0.99829999999999997</v>
      </c>
      <c r="F129" s="645">
        <v>1.6012999999999999</v>
      </c>
      <c r="G129" s="645">
        <f>0.1689*100</f>
        <v>16.89</v>
      </c>
      <c r="H129" s="645">
        <f>0.3381*100</f>
        <v>33.81</v>
      </c>
      <c r="I129" s="645">
        <v>1.2126999999999999</v>
      </c>
      <c r="J129" s="645">
        <v>4.2</v>
      </c>
      <c r="K129" s="645">
        <v>1.3159190476190477</v>
      </c>
      <c r="L129" s="645">
        <v>1.8514761904761905</v>
      </c>
      <c r="M129" s="645">
        <v>1.0107190476190477</v>
      </c>
      <c r="N129" s="645">
        <v>1.6150095238095237</v>
      </c>
      <c r="O129" s="645">
        <f>0.167695238095238*100</f>
        <v>16.7695238095238</v>
      </c>
      <c r="P129" s="645">
        <f>0.338366666666667*100</f>
        <v>33.836666666666702</v>
      </c>
      <c r="Q129" s="645">
        <v>1.2227142857142861</v>
      </c>
      <c r="R129" s="646">
        <v>4.2023809523809543</v>
      </c>
    </row>
    <row r="130" spans="1:19" ht="14">
      <c r="A130" s="239"/>
      <c r="B130" s="273" t="s">
        <v>109</v>
      </c>
      <c r="C130" s="643">
        <v>1.3376999999999999</v>
      </c>
      <c r="D130" s="645">
        <v>1.7785</v>
      </c>
      <c r="E130" s="645">
        <v>1.0124</v>
      </c>
      <c r="F130" s="645">
        <v>1.5641</v>
      </c>
      <c r="G130" s="645">
        <f>0.1705*100</f>
        <v>17.05</v>
      </c>
      <c r="H130" s="645">
        <f>0.336*100</f>
        <v>33.6</v>
      </c>
      <c r="I130" s="645">
        <v>1.2294</v>
      </c>
      <c r="J130" s="645">
        <v>4.17</v>
      </c>
      <c r="K130" s="645">
        <v>1.3393826086956522</v>
      </c>
      <c r="L130" s="645">
        <v>1.8025869565217392</v>
      </c>
      <c r="M130" s="645">
        <v>1.0080090909090911</v>
      </c>
      <c r="N130" s="645">
        <v>1.5820565217391305</v>
      </c>
      <c r="O130" s="645">
        <f>0.170659090909091*100</f>
        <v>17.065909090909102</v>
      </c>
      <c r="P130" s="645">
        <v>33.68347826086957</v>
      </c>
      <c r="Q130" s="645">
        <v>1.2204772727272728</v>
      </c>
      <c r="R130" s="646">
        <v>4.1904545454545454</v>
      </c>
    </row>
    <row r="131" spans="1:19" ht="14">
      <c r="A131" s="239"/>
      <c r="B131" s="273" t="s">
        <v>110</v>
      </c>
      <c r="C131" s="643">
        <v>1.3627</v>
      </c>
      <c r="D131" s="645">
        <v>1.8</v>
      </c>
      <c r="E131" s="645">
        <v>1.0095000000000001</v>
      </c>
      <c r="F131" s="645">
        <v>1.5936999999999999</v>
      </c>
      <c r="G131" s="645">
        <f>0.1738*100</f>
        <v>17.380000000000003</v>
      </c>
      <c r="H131" s="645">
        <f>0.338*100</f>
        <v>33.800000000000004</v>
      </c>
      <c r="I131" s="645">
        <v>1.2309000000000001</v>
      </c>
      <c r="J131" s="645">
        <v>4.1300000000000008</v>
      </c>
      <c r="K131" s="645">
        <v>1.3486761904761904</v>
      </c>
      <c r="L131" s="645">
        <v>1.7913857142857144</v>
      </c>
      <c r="M131" s="645">
        <v>1.0100333333333333</v>
      </c>
      <c r="N131" s="645">
        <v>1.5742999999999998</v>
      </c>
      <c r="O131" s="645">
        <f>0.171885714285714*100</f>
        <v>17.1885714285714</v>
      </c>
      <c r="P131" s="645">
        <f>0.337257142857143*100</f>
        <v>33.725714285714297</v>
      </c>
      <c r="Q131" s="645">
        <v>1.2245238095238093</v>
      </c>
      <c r="R131" s="646">
        <v>4.1528571428571439</v>
      </c>
    </row>
    <row r="132" spans="1:19" ht="14">
      <c r="A132" s="239"/>
      <c r="B132" s="273" t="s">
        <v>117</v>
      </c>
      <c r="C132" s="645">
        <v>1.3614999999999999</v>
      </c>
      <c r="D132" s="645">
        <v>1.7867999999999999</v>
      </c>
      <c r="E132" s="645">
        <v>1.0105999999999999</v>
      </c>
      <c r="F132" s="645">
        <v>1.5916999999999999</v>
      </c>
      <c r="G132" s="645">
        <v>17.349999999999998</v>
      </c>
      <c r="H132" s="645">
        <v>33.660000000000004</v>
      </c>
      <c r="I132" s="645">
        <v>1.2171000000000001</v>
      </c>
      <c r="J132" s="645">
        <v>4.1000000000000005</v>
      </c>
      <c r="K132" s="645">
        <v>1.363040909090909</v>
      </c>
      <c r="L132" s="645">
        <v>1.7951772727272728</v>
      </c>
      <c r="M132" s="645">
        <v>1.0092863636363634</v>
      </c>
      <c r="N132" s="645">
        <v>1.5930227272727278</v>
      </c>
      <c r="O132" s="645">
        <v>17.369090909090907</v>
      </c>
      <c r="P132" s="645">
        <v>33.663181818181819</v>
      </c>
      <c r="Q132" s="645">
        <v>1.2229000000000001</v>
      </c>
      <c r="R132" s="645">
        <v>4.0977272727272736</v>
      </c>
      <c r="S132" s="192"/>
    </row>
    <row r="133" spans="1:19" ht="14">
      <c r="A133" s="239"/>
      <c r="B133" s="273" t="s">
        <v>112</v>
      </c>
      <c r="C133" s="645">
        <v>1.3722000000000001</v>
      </c>
      <c r="D133" s="645">
        <v>1.7784</v>
      </c>
      <c r="E133" s="645">
        <v>0.98660000000000003</v>
      </c>
      <c r="F133" s="645">
        <v>1.5919000000000001</v>
      </c>
      <c r="G133" s="645">
        <v>17.489999999999998</v>
      </c>
      <c r="H133" s="645">
        <v>33.33</v>
      </c>
      <c r="I133" s="645">
        <v>1.2296</v>
      </c>
      <c r="J133" s="645">
        <v>4.21</v>
      </c>
      <c r="K133" s="645">
        <v>1.3688913043478259</v>
      </c>
      <c r="L133" s="645">
        <v>1.7626347826086959</v>
      </c>
      <c r="M133" s="645">
        <v>1.002765217391304</v>
      </c>
      <c r="N133" s="645">
        <v>1.5807478260869561</v>
      </c>
      <c r="O133" s="645">
        <v>17.439999999999998</v>
      </c>
      <c r="P133" s="645">
        <v>33.43</v>
      </c>
      <c r="Q133" s="645">
        <v>1.2326913043478263</v>
      </c>
      <c r="R133" s="645">
        <v>4.1469565217391313</v>
      </c>
    </row>
    <row r="134" spans="1:19" ht="14">
      <c r="A134" s="239"/>
      <c r="B134" s="273" t="s">
        <v>113</v>
      </c>
      <c r="C134" s="645">
        <v>1.3673</v>
      </c>
      <c r="D134" s="645">
        <v>1.7817000000000001</v>
      </c>
      <c r="E134" s="645">
        <v>0.9879</v>
      </c>
      <c r="F134" s="645">
        <v>1.5871999999999999</v>
      </c>
      <c r="G134" s="645">
        <v>17.47</v>
      </c>
      <c r="H134" s="645">
        <v>33</v>
      </c>
      <c r="I134" s="645">
        <v>1.2014</v>
      </c>
      <c r="J134" s="645">
        <v>4.2299999999999995</v>
      </c>
      <c r="K134" s="645">
        <v>1.3710450000000001</v>
      </c>
      <c r="L134" s="645">
        <v>1.7901499999999999</v>
      </c>
      <c r="M134" s="645">
        <v>0.98765000000000014</v>
      </c>
      <c r="N134" s="645">
        <v>1.5986400000000003</v>
      </c>
      <c r="O134" s="645">
        <v>17.491499999999998</v>
      </c>
      <c r="P134" s="645">
        <v>33.111999999999995</v>
      </c>
      <c r="Q134" s="645">
        <v>1.2236549999999999</v>
      </c>
      <c r="R134" s="645">
        <v>4.2065000000000019</v>
      </c>
      <c r="S134" s="192"/>
    </row>
    <row r="135" spans="1:19" ht="14">
      <c r="A135" s="239"/>
      <c r="B135" s="273" t="s">
        <v>114</v>
      </c>
      <c r="C135" s="645">
        <v>1.3856999999999999</v>
      </c>
      <c r="D135" s="645">
        <v>1.7690999999999999</v>
      </c>
      <c r="E135" s="645">
        <v>0.98009999999999997</v>
      </c>
      <c r="F135" s="645">
        <v>1.5674999999999999</v>
      </c>
      <c r="G135" s="645">
        <v>17.669999999999998</v>
      </c>
      <c r="H135" s="645">
        <v>33.11</v>
      </c>
      <c r="I135" s="645">
        <v>1.2267999999999999</v>
      </c>
      <c r="J135" s="645">
        <v>4.18</v>
      </c>
      <c r="K135" s="645">
        <v>1.3798608695652175</v>
      </c>
      <c r="L135" s="645">
        <v>1.7950434782608695</v>
      </c>
      <c r="M135" s="645">
        <v>0.97996956521739098</v>
      </c>
      <c r="N135" s="645">
        <v>1.5840913043478257</v>
      </c>
      <c r="O135" s="645">
        <v>17.605652173913043</v>
      </c>
      <c r="P135" s="645">
        <v>33.176956521739129</v>
      </c>
      <c r="Q135" s="645">
        <v>1.2234043478260868</v>
      </c>
      <c r="R135" s="645">
        <v>4.2073913043478264</v>
      </c>
    </row>
    <row r="136" spans="1:19" ht="14">
      <c r="A136" s="239"/>
      <c r="B136" s="273" t="s">
        <v>115</v>
      </c>
      <c r="C136" s="645">
        <v>1.3715999999999999</v>
      </c>
      <c r="D136" s="645">
        <v>1.7479</v>
      </c>
      <c r="E136" s="645">
        <v>1.0024</v>
      </c>
      <c r="F136" s="645">
        <v>1.5528</v>
      </c>
      <c r="G136" s="645">
        <v>17.53</v>
      </c>
      <c r="H136" s="645">
        <v>32.82</v>
      </c>
      <c r="I136" s="645">
        <v>1.2091000000000001</v>
      </c>
      <c r="J136" s="645">
        <v>4.16</v>
      </c>
      <c r="K136" s="645">
        <v>1.3751181818181821</v>
      </c>
      <c r="L136" s="645">
        <v>1.7735954545454542</v>
      </c>
      <c r="M136" s="645">
        <v>0.9968318181818181</v>
      </c>
      <c r="N136" s="645">
        <v>1.5625227272727273</v>
      </c>
      <c r="O136" s="645">
        <v>17.564999999999998</v>
      </c>
      <c r="P136" s="645">
        <v>32.874545454545455</v>
      </c>
      <c r="Q136" s="645">
        <v>1.2130727272727275</v>
      </c>
      <c r="R136" s="645">
        <v>4.1722727272727251</v>
      </c>
    </row>
    <row r="137" spans="1:19" ht="14">
      <c r="A137" s="240"/>
      <c r="B137" s="274" t="s">
        <v>116</v>
      </c>
      <c r="C137" s="651">
        <v>1.3629</v>
      </c>
      <c r="D137" s="651">
        <v>1.7387999999999999</v>
      </c>
      <c r="E137" s="651">
        <v>0.96109999999999995</v>
      </c>
      <c r="F137" s="651">
        <v>1.5629999999999999</v>
      </c>
      <c r="G137" s="651">
        <v>17.399999999999999</v>
      </c>
      <c r="H137" s="651">
        <v>32.97</v>
      </c>
      <c r="I137" s="651">
        <v>1.2436</v>
      </c>
      <c r="J137" s="651">
        <v>4.22</v>
      </c>
      <c r="K137" s="651">
        <v>1.370695238095238</v>
      </c>
      <c r="L137" s="651">
        <v>1.7354095238095233</v>
      </c>
      <c r="M137" s="651">
        <v>0.98114761904761916</v>
      </c>
      <c r="N137" s="651">
        <v>1.5594476190476192</v>
      </c>
      <c r="O137" s="651">
        <v>17.526666666666667</v>
      </c>
      <c r="P137" s="651">
        <v>32.855714285714285</v>
      </c>
      <c r="Q137" s="651">
        <v>1.2223095238095236</v>
      </c>
      <c r="R137" s="651">
        <v>4.1914285714285704</v>
      </c>
    </row>
    <row r="138" spans="1:19" ht="14">
      <c r="A138" s="238">
        <v>2019</v>
      </c>
      <c r="B138" s="272" t="s">
        <v>105</v>
      </c>
      <c r="C138" s="639">
        <v>1.3455999999999999</v>
      </c>
      <c r="D138" s="639">
        <v>1.7644</v>
      </c>
      <c r="E138" s="639">
        <v>0.97909999999999997</v>
      </c>
      <c r="F138" s="639">
        <v>1.5403</v>
      </c>
      <c r="G138" s="639">
        <v>17.150000000000002</v>
      </c>
      <c r="H138" s="639">
        <v>32.85</v>
      </c>
      <c r="I138" s="639">
        <v>1.2363999999999999</v>
      </c>
      <c r="J138" s="639">
        <v>4.3099999999999996</v>
      </c>
      <c r="K138" s="639">
        <v>1.3560090909090912</v>
      </c>
      <c r="L138" s="639">
        <v>1.7501227272727276</v>
      </c>
      <c r="M138" s="639">
        <v>0.9702590909090909</v>
      </c>
      <c r="N138" s="639">
        <v>1.5483045454545454</v>
      </c>
      <c r="O138" s="639">
        <v>17.292272727272724</v>
      </c>
      <c r="P138" s="639">
        <v>32.9509090909091</v>
      </c>
      <c r="Q138" s="639">
        <v>1.2445954545454545</v>
      </c>
      <c r="R138" s="639">
        <v>4.2654545454545501</v>
      </c>
    </row>
    <row r="139" spans="1:19" ht="14">
      <c r="A139" s="239"/>
      <c r="B139" s="273" t="s">
        <v>106</v>
      </c>
      <c r="C139" s="645">
        <v>1.3522000000000001</v>
      </c>
      <c r="D139" s="645">
        <v>1.7930999999999999</v>
      </c>
      <c r="E139" s="645">
        <v>0.95909999999999995</v>
      </c>
      <c r="F139" s="645">
        <v>1.5374000000000001</v>
      </c>
      <c r="G139" s="645">
        <v>17.22</v>
      </c>
      <c r="H139" s="645">
        <v>33.26</v>
      </c>
      <c r="I139" s="645">
        <v>1.2138</v>
      </c>
      <c r="J139" s="645">
        <v>4.2799999999999994</v>
      </c>
      <c r="K139" s="645">
        <v>1.3538700000000001</v>
      </c>
      <c r="L139" s="645">
        <v>1.76173</v>
      </c>
      <c r="M139" s="645">
        <v>0.96651000000000009</v>
      </c>
      <c r="N139" s="645">
        <v>1.5364950000000002</v>
      </c>
      <c r="O139" s="645">
        <v>17.2515</v>
      </c>
      <c r="P139" s="645">
        <v>33.218500000000006</v>
      </c>
      <c r="Q139" s="645">
        <v>1.225705</v>
      </c>
      <c r="R139" s="645">
        <v>4.3235000000000001</v>
      </c>
    </row>
    <row r="140" spans="1:19" ht="14">
      <c r="A140" s="239"/>
      <c r="B140" s="273" t="s">
        <v>107</v>
      </c>
      <c r="C140" s="645">
        <v>1.3556999999999999</v>
      </c>
      <c r="D140" s="645">
        <v>1.7668999999999999</v>
      </c>
      <c r="E140" s="645">
        <v>0.96209999999999996</v>
      </c>
      <c r="F140" s="645">
        <v>1.5206999999999999</v>
      </c>
      <c r="G140" s="645">
        <v>17.28</v>
      </c>
      <c r="H140" s="645">
        <v>33.21</v>
      </c>
      <c r="I140" s="645">
        <v>1.2233000000000001</v>
      </c>
      <c r="J140" s="645">
        <v>4.2700000000000005</v>
      </c>
      <c r="K140" s="645">
        <v>1.3542571428571428</v>
      </c>
      <c r="L140" s="645">
        <v>1.7837761904761902</v>
      </c>
      <c r="M140" s="645">
        <v>0.95923809523809511</v>
      </c>
      <c r="N140" s="645">
        <v>1.5300761904761904</v>
      </c>
      <c r="O140" s="645">
        <v>17.253809523809519</v>
      </c>
      <c r="P140" s="645">
        <v>33.203809523809518</v>
      </c>
      <c r="Q140" s="645">
        <v>1.2185523809523808</v>
      </c>
      <c r="R140" s="645">
        <v>4.2671428571428605</v>
      </c>
    </row>
    <row r="141" spans="1:19" ht="14">
      <c r="A141" s="239"/>
      <c r="B141" s="273" t="s">
        <v>108</v>
      </c>
      <c r="C141" s="645">
        <v>1.3609</v>
      </c>
      <c r="D141" s="645">
        <v>1.7738</v>
      </c>
      <c r="E141" s="645">
        <v>0.95889999999999997</v>
      </c>
      <c r="F141" s="645">
        <v>1.5263</v>
      </c>
      <c r="G141" s="645">
        <v>17.34</v>
      </c>
      <c r="H141" s="645">
        <v>32.879999999999995</v>
      </c>
      <c r="I141" s="645">
        <v>1.2206999999999999</v>
      </c>
      <c r="J141" s="645">
        <v>4.2700000000000005</v>
      </c>
      <c r="K141" s="645">
        <v>1.356077272727273</v>
      </c>
      <c r="L141" s="645">
        <v>1.7668181818181821</v>
      </c>
      <c r="M141" s="645">
        <v>0.96451818181818183</v>
      </c>
      <c r="N141" s="645">
        <v>1.5233409090909091</v>
      </c>
      <c r="O141" s="645">
        <v>17.288181818181815</v>
      </c>
      <c r="P141" s="645">
        <v>32.936818181818182</v>
      </c>
      <c r="Q141" s="645">
        <v>1.2142272727272727</v>
      </c>
      <c r="R141" s="645">
        <v>4.257727272727271</v>
      </c>
    </row>
    <row r="142" spans="1:19" ht="14">
      <c r="A142" s="239"/>
      <c r="B142" s="273" t="s">
        <v>109</v>
      </c>
      <c r="C142" s="645">
        <v>1.3740000000000001</v>
      </c>
      <c r="D142" s="645">
        <v>1.7369000000000001</v>
      </c>
      <c r="E142" s="645">
        <v>0.95289999999999997</v>
      </c>
      <c r="F142" s="645">
        <v>1.5353000000000001</v>
      </c>
      <c r="G142" s="645">
        <v>17.54</v>
      </c>
      <c r="H142" s="645">
        <v>32.85</v>
      </c>
      <c r="I142" s="645">
        <v>1.2683</v>
      </c>
      <c r="J142" s="645">
        <v>4.3600000000000003</v>
      </c>
      <c r="K142" s="645">
        <v>1.3711478260869563</v>
      </c>
      <c r="L142" s="645">
        <v>1.7605913043478261</v>
      </c>
      <c r="M142" s="645">
        <v>0.95190869565217395</v>
      </c>
      <c r="N142" s="645">
        <v>1.533373913043478</v>
      </c>
      <c r="O142" s="645">
        <v>17.470869565217392</v>
      </c>
      <c r="P142" s="645">
        <v>32.889130434782615</v>
      </c>
      <c r="Q142" s="645">
        <v>1.2466652173913044</v>
      </c>
      <c r="R142" s="645">
        <v>4.3121739130434777</v>
      </c>
    </row>
    <row r="143" spans="1:19" ht="14">
      <c r="A143" s="239"/>
      <c r="B143" s="273" t="s">
        <v>110</v>
      </c>
      <c r="C143" s="645">
        <v>1.3531</v>
      </c>
      <c r="D143" s="645">
        <v>1.7178</v>
      </c>
      <c r="E143" s="645">
        <v>0.95009999999999994</v>
      </c>
      <c r="F143" s="645">
        <v>1.5383</v>
      </c>
      <c r="G143" s="645">
        <v>17.32</v>
      </c>
      <c r="H143" s="645">
        <v>32.74</v>
      </c>
      <c r="I143" s="645">
        <v>1.2541</v>
      </c>
      <c r="J143" s="645">
        <v>4.41</v>
      </c>
      <c r="K143" s="645">
        <v>1.3621000000000003</v>
      </c>
      <c r="L143" s="645">
        <v>1.7265599999999999</v>
      </c>
      <c r="M143" s="645">
        <v>0.94628000000000012</v>
      </c>
      <c r="N143" s="645">
        <v>1.5385550000000001</v>
      </c>
      <c r="O143" s="645">
        <v>17.403000000000002</v>
      </c>
      <c r="P143" s="645">
        <v>32.774999999999999</v>
      </c>
      <c r="Q143" s="645">
        <v>1.2605600000000003</v>
      </c>
      <c r="R143" s="645">
        <v>4.3794999999999984</v>
      </c>
    </row>
    <row r="144" spans="1:19" ht="14">
      <c r="A144" s="239"/>
      <c r="B144" s="273" t="s">
        <v>117</v>
      </c>
      <c r="C144" s="645">
        <v>1.3744000000000001</v>
      </c>
      <c r="D144" s="645">
        <v>1.6712</v>
      </c>
      <c r="E144" s="645">
        <v>0.94079999999999997</v>
      </c>
      <c r="F144" s="645">
        <v>1.522</v>
      </c>
      <c r="G144" s="645">
        <v>17.560000000000002</v>
      </c>
      <c r="H144" s="645">
        <v>33.35</v>
      </c>
      <c r="I144" s="645">
        <v>1.2635000000000001</v>
      </c>
      <c r="J144" s="645">
        <v>4.45</v>
      </c>
      <c r="K144" s="645">
        <v>1.3614739130434785</v>
      </c>
      <c r="L144" s="645">
        <v>1.6970565217391305</v>
      </c>
      <c r="M144" s="645">
        <v>0.95012608695652179</v>
      </c>
      <c r="N144" s="645">
        <v>1.5265826086956522</v>
      </c>
      <c r="O144" s="645">
        <v>17.425652173913043</v>
      </c>
      <c r="P144" s="645">
        <v>33.025217391304338</v>
      </c>
      <c r="Q144" s="645">
        <v>1.257669565217391</v>
      </c>
      <c r="R144" s="645">
        <v>4.4178260869565227</v>
      </c>
    </row>
    <row r="145" spans="1:18" ht="14">
      <c r="A145" s="239"/>
      <c r="B145" s="273" t="s">
        <v>112</v>
      </c>
      <c r="C145" s="645">
        <v>1.3873</v>
      </c>
      <c r="D145" s="645">
        <v>1.6873</v>
      </c>
      <c r="E145" s="645">
        <v>0.93440000000000001</v>
      </c>
      <c r="F145" s="645">
        <v>1.5229999999999999</v>
      </c>
      <c r="G145" s="645">
        <v>17.690000000000001</v>
      </c>
      <c r="H145" s="645">
        <v>32.99</v>
      </c>
      <c r="I145" s="645">
        <v>1.3062</v>
      </c>
      <c r="J145" s="645">
        <v>4.53</v>
      </c>
      <c r="K145" s="645">
        <v>1.3850818181818185</v>
      </c>
      <c r="L145" s="645">
        <v>1.6830954545454546</v>
      </c>
      <c r="M145" s="645">
        <v>0.93733636363636375</v>
      </c>
      <c r="N145" s="645">
        <v>1.5404545454545455</v>
      </c>
      <c r="O145" s="645">
        <v>17.664545454545454</v>
      </c>
      <c r="P145" s="645">
        <v>33.062727272727265</v>
      </c>
      <c r="Q145" s="645">
        <v>1.3041136363636363</v>
      </c>
      <c r="R145" s="645">
        <v>4.5036363636363648</v>
      </c>
    </row>
    <row r="146" spans="1:18" ht="14">
      <c r="A146" s="239"/>
      <c r="B146" s="273" t="s">
        <v>113</v>
      </c>
      <c r="C146" s="643">
        <v>1.3819999999999999</v>
      </c>
      <c r="D146" s="645">
        <v>1.6991000000000001</v>
      </c>
      <c r="E146" s="645">
        <v>0.93269999999999997</v>
      </c>
      <c r="F146" s="645">
        <v>1.5061</v>
      </c>
      <c r="G146" s="645">
        <v>17.630000000000003</v>
      </c>
      <c r="H146" s="645">
        <v>33</v>
      </c>
      <c r="I146" s="645">
        <v>1.2786999999999999</v>
      </c>
      <c r="J146" s="645">
        <v>4.5199999999999996</v>
      </c>
      <c r="K146" s="645">
        <v>1.3797857142857142</v>
      </c>
      <c r="L146" s="645">
        <v>1.7052428571428571</v>
      </c>
      <c r="M146" s="645">
        <v>0.93950952380952368</v>
      </c>
      <c r="N146" s="645">
        <v>1.518747619047619</v>
      </c>
      <c r="O146" s="645">
        <v>17.611428571428576</v>
      </c>
      <c r="P146" s="645">
        <v>32.978095238095243</v>
      </c>
      <c r="Q146" s="645">
        <v>1.2835285714285716</v>
      </c>
      <c r="R146" s="645">
        <v>4.5119047619047628</v>
      </c>
    </row>
    <row r="147" spans="1:18" ht="14">
      <c r="A147" s="239"/>
      <c r="B147" s="273" t="s">
        <v>114</v>
      </c>
      <c r="C147" s="643">
        <v>1.3603000000000001</v>
      </c>
      <c r="D147" s="645">
        <v>1.7604</v>
      </c>
      <c r="E147" s="645">
        <v>0.93789999999999996</v>
      </c>
      <c r="F147" s="645">
        <v>1.5162</v>
      </c>
      <c r="G147" s="645">
        <v>17.36</v>
      </c>
      <c r="H147" s="645">
        <v>32.550000000000004</v>
      </c>
      <c r="I147" s="645">
        <v>1.2593000000000001</v>
      </c>
      <c r="J147" s="645">
        <v>4.51</v>
      </c>
      <c r="K147" s="645">
        <v>1.3704260869565217</v>
      </c>
      <c r="L147" s="645">
        <v>1.734495652173913</v>
      </c>
      <c r="M147" s="645">
        <v>0.93152173913043468</v>
      </c>
      <c r="N147" s="645">
        <v>1.5151565217391303</v>
      </c>
      <c r="O147" s="645">
        <v>17.476521739130433</v>
      </c>
      <c r="P147" s="645">
        <v>32.723913043478262</v>
      </c>
      <c r="Q147" s="645">
        <v>1.2670130434782609</v>
      </c>
      <c r="R147" s="645">
        <v>4.5139130434782615</v>
      </c>
    </row>
    <row r="148" spans="1:18" ht="14">
      <c r="A148" s="239"/>
      <c r="B148" s="273" t="s">
        <v>115</v>
      </c>
      <c r="C148" s="645">
        <v>1.3676999999999999</v>
      </c>
      <c r="D148" s="645">
        <v>1.7657</v>
      </c>
      <c r="E148" s="645">
        <v>0.92510000000000003</v>
      </c>
      <c r="F148" s="645">
        <v>1.5068999999999999</v>
      </c>
      <c r="G148" s="645">
        <v>17.47</v>
      </c>
      <c r="H148" s="645">
        <v>32.74</v>
      </c>
      <c r="I148" s="645">
        <v>1.2490000000000001</v>
      </c>
      <c r="J148" s="645">
        <v>4.5199999999999996</v>
      </c>
      <c r="K148" s="645">
        <v>1.3616904761904762</v>
      </c>
      <c r="L148" s="645">
        <v>1.7544523809523809</v>
      </c>
      <c r="M148" s="645">
        <v>0.92954285714285712</v>
      </c>
      <c r="N148" s="645">
        <v>1.504361904761905</v>
      </c>
      <c r="O148" s="645">
        <v>17.395714285714284</v>
      </c>
      <c r="P148" s="645">
        <v>32.762857142857136</v>
      </c>
      <c r="Q148" s="645">
        <v>1.2504761904761903</v>
      </c>
      <c r="R148" s="645">
        <v>4.5023809523809533</v>
      </c>
    </row>
    <row r="149" spans="1:18" ht="14">
      <c r="A149" s="240"/>
      <c r="B149" s="274" t="s">
        <v>116</v>
      </c>
      <c r="C149" s="651">
        <v>1.3456999999999999</v>
      </c>
      <c r="D149" s="651">
        <v>1.7826</v>
      </c>
      <c r="E149" s="651">
        <v>0.94420000000000004</v>
      </c>
      <c r="F149" s="651">
        <v>1.5102</v>
      </c>
      <c r="G149" s="651">
        <v>17.27</v>
      </c>
      <c r="H149" s="651">
        <v>32.89</v>
      </c>
      <c r="I149" s="651">
        <v>1.2386999999999999</v>
      </c>
      <c r="J149" s="651">
        <v>4.53</v>
      </c>
      <c r="K149" s="651">
        <v>1.355947619047619</v>
      </c>
      <c r="L149" s="651">
        <v>1.7769714285714286</v>
      </c>
      <c r="M149" s="651">
        <v>0.93453809523809517</v>
      </c>
      <c r="N149" s="651">
        <v>1.5074428571428573</v>
      </c>
      <c r="O149" s="651">
        <v>17.377142857142854</v>
      </c>
      <c r="P149" s="651">
        <v>32.71380952380953</v>
      </c>
      <c r="Q149" s="651">
        <v>1.2426333333333335</v>
      </c>
      <c r="R149" s="651">
        <v>4.4899999999999993</v>
      </c>
    </row>
    <row r="150" spans="1:18" ht="15.75" customHeight="1">
      <c r="A150" s="238">
        <v>2020</v>
      </c>
      <c r="B150" s="272" t="s">
        <v>105</v>
      </c>
      <c r="C150" s="637">
        <v>1.3648</v>
      </c>
      <c r="D150" s="639">
        <v>1.8018000000000001</v>
      </c>
      <c r="E150" s="639">
        <v>0.91279999999999994</v>
      </c>
      <c r="F150" s="639">
        <v>1.5136000000000001</v>
      </c>
      <c r="G150" s="639">
        <v>17.57</v>
      </c>
      <c r="H150" s="639">
        <v>33.300000000000004</v>
      </c>
      <c r="I150" s="639">
        <v>1.2592000000000001</v>
      </c>
      <c r="J150" s="639">
        <v>4.37</v>
      </c>
      <c r="K150" s="639">
        <v>1.3514590909090907</v>
      </c>
      <c r="L150" s="639">
        <v>1.7671590909090908</v>
      </c>
      <c r="M150" s="639">
        <v>0.92622272727272703</v>
      </c>
      <c r="N150" s="639">
        <v>1.5000772727272726</v>
      </c>
      <c r="O150" s="639">
        <v>17.38727272727273</v>
      </c>
      <c r="P150" s="639">
        <v>33.134999999999998</v>
      </c>
      <c r="Q150" s="639">
        <v>1.2364545454545455</v>
      </c>
      <c r="R150" s="639">
        <v>4.4354545454545447</v>
      </c>
    </row>
    <row r="151" spans="1:18" ht="15.75" customHeight="1">
      <c r="A151" s="239"/>
      <c r="B151" s="273" t="s">
        <v>106</v>
      </c>
      <c r="C151" s="643">
        <v>1.3932</v>
      </c>
      <c r="D151" s="645">
        <v>1.7855000000000001</v>
      </c>
      <c r="E151" s="645">
        <v>0.90669999999999995</v>
      </c>
      <c r="F151" s="645">
        <v>1.5354000000000001</v>
      </c>
      <c r="G151" s="645">
        <v>17.88</v>
      </c>
      <c r="H151" s="645">
        <v>33.07</v>
      </c>
      <c r="I151" s="645">
        <v>1.2887999999999999</v>
      </c>
      <c r="J151" s="645">
        <v>4.42</v>
      </c>
      <c r="K151" s="659">
        <v>1.3899299999999999</v>
      </c>
      <c r="L151" s="659">
        <v>1.8003549999999997</v>
      </c>
      <c r="M151" s="660">
        <v>0.92634000000000005</v>
      </c>
      <c r="N151" s="659">
        <v>1.5157050000000001</v>
      </c>
      <c r="O151" s="659">
        <v>17.877000000000002</v>
      </c>
      <c r="P151" s="659">
        <v>33.391999999999996</v>
      </c>
      <c r="Q151" s="659">
        <v>1.263145</v>
      </c>
      <c r="R151" s="659">
        <v>4.4365000000000006</v>
      </c>
    </row>
    <row r="152" spans="1:18" ht="15.75" customHeight="1">
      <c r="A152" s="239"/>
      <c r="B152" s="273" t="s">
        <v>107</v>
      </c>
      <c r="C152" s="643">
        <v>1.4219999999999999</v>
      </c>
      <c r="D152" s="645">
        <v>1.7633000000000001</v>
      </c>
      <c r="E152" s="645">
        <v>0.87270000000000003</v>
      </c>
      <c r="F152" s="645">
        <v>1.5698000000000001</v>
      </c>
      <c r="G152" s="645">
        <v>18.350000000000001</v>
      </c>
      <c r="H152" s="645">
        <v>32.950000000000003</v>
      </c>
      <c r="I152" s="645">
        <v>1.3222</v>
      </c>
      <c r="J152" s="645">
        <v>4.34</v>
      </c>
      <c r="K152" s="645">
        <v>1.4170818181818181</v>
      </c>
      <c r="L152" s="645">
        <v>1.7497454545454545</v>
      </c>
      <c r="M152" s="645">
        <v>0.87978636363636364</v>
      </c>
      <c r="N152" s="645">
        <v>1.5671954545454547</v>
      </c>
      <c r="O152" s="645">
        <v>18.250909090909094</v>
      </c>
      <c r="P152" s="645">
        <v>32.951818181818176</v>
      </c>
      <c r="Q152" s="645">
        <v>1.3156727272727273</v>
      </c>
      <c r="R152" s="645">
        <v>4.4136363636363631</v>
      </c>
    </row>
    <row r="153" spans="1:18" ht="15.75" customHeight="1">
      <c r="A153" s="239"/>
      <c r="B153" s="273" t="s">
        <v>108</v>
      </c>
      <c r="C153" s="643">
        <v>1.4098999999999999</v>
      </c>
      <c r="D153" s="645">
        <v>1.7770999999999999</v>
      </c>
      <c r="E153" s="645">
        <v>0.91890000000000005</v>
      </c>
      <c r="F153" s="645">
        <v>1.5452999999999999</v>
      </c>
      <c r="G153" s="645">
        <v>18.2</v>
      </c>
      <c r="H153" s="645">
        <v>32.83</v>
      </c>
      <c r="I153" s="645">
        <v>1.3163</v>
      </c>
      <c r="J153" s="645">
        <v>4.3499999999999996</v>
      </c>
      <c r="K153" s="645">
        <v>1.4231</v>
      </c>
      <c r="L153" s="645">
        <v>1.7673045454545453</v>
      </c>
      <c r="M153" s="645">
        <v>0.89803636363636341</v>
      </c>
      <c r="N153" s="645">
        <v>1.5472499999999998</v>
      </c>
      <c r="O153" s="645">
        <v>18.362272727272728</v>
      </c>
      <c r="P153" s="645">
        <v>32.708636363636359</v>
      </c>
      <c r="Q153" s="645">
        <v>1.3203363636363634</v>
      </c>
      <c r="R153" s="645">
        <v>4.3604545454545454</v>
      </c>
    </row>
    <row r="154" spans="1:18" ht="15.75" customHeight="1">
      <c r="A154" s="239"/>
      <c r="B154" s="273" t="s">
        <v>109</v>
      </c>
      <c r="C154" s="643">
        <v>1.4135</v>
      </c>
      <c r="D154" s="645">
        <v>1.7455000000000001</v>
      </c>
      <c r="E154" s="645">
        <v>0.94140000000000001</v>
      </c>
      <c r="F154" s="645">
        <v>1.5693999999999999</v>
      </c>
      <c r="G154" s="645">
        <v>18.23</v>
      </c>
      <c r="H154" s="645">
        <v>32.5</v>
      </c>
      <c r="I154" s="645">
        <v>1.3104</v>
      </c>
      <c r="J154" s="645">
        <v>4.4400000000000004</v>
      </c>
      <c r="K154" s="645">
        <v>1.418304761904762</v>
      </c>
      <c r="L154" s="645">
        <v>1.7438047619047623</v>
      </c>
      <c r="M154" s="645">
        <v>0.92452380952380953</v>
      </c>
      <c r="N154" s="645">
        <v>1.5468952380952383</v>
      </c>
      <c r="O154" s="645">
        <v>18.294285714285714</v>
      </c>
      <c r="P154" s="645">
        <v>32.686190476190475</v>
      </c>
      <c r="Q154" s="645">
        <v>1.3227809523809526</v>
      </c>
      <c r="R154" s="645">
        <v>4.4204761904761902</v>
      </c>
    </row>
    <row r="155" spans="1:18" ht="15.75" customHeight="1">
      <c r="A155" s="239"/>
      <c r="B155" s="273" t="s">
        <v>110</v>
      </c>
      <c r="C155" s="643">
        <v>1.3935999999999999</v>
      </c>
      <c r="D155" s="645">
        <v>1.7282</v>
      </c>
      <c r="E155" s="645">
        <v>0.96199999999999997</v>
      </c>
      <c r="F155" s="645">
        <v>1.5653999999999999</v>
      </c>
      <c r="G155" s="645">
        <v>17.98</v>
      </c>
      <c r="H155" s="645">
        <v>32.53</v>
      </c>
      <c r="I155" s="645">
        <v>1.2910999999999999</v>
      </c>
      <c r="J155" s="645">
        <v>4.51</v>
      </c>
      <c r="K155" s="645">
        <v>1.3938090909090908</v>
      </c>
      <c r="L155" s="645">
        <v>1.7459681818181814</v>
      </c>
      <c r="M155" s="645">
        <v>0.96193181818181828</v>
      </c>
      <c r="N155" s="645">
        <v>1.5690999999999997</v>
      </c>
      <c r="O155" s="645">
        <v>17.983636363636364</v>
      </c>
      <c r="P155" s="645">
        <v>32.603181818181817</v>
      </c>
      <c r="Q155" s="645">
        <v>1.295309090909091</v>
      </c>
      <c r="R155" s="645">
        <v>4.4731818181818186</v>
      </c>
    </row>
    <row r="156" spans="1:18" ht="15.75" customHeight="1">
      <c r="A156" s="239"/>
      <c r="B156" s="273" t="s">
        <v>117</v>
      </c>
      <c r="C156" s="645">
        <v>1.3745000000000001</v>
      </c>
      <c r="D156" s="645">
        <v>1.7988</v>
      </c>
      <c r="E156" s="645">
        <v>0.9819</v>
      </c>
      <c r="F156" s="645">
        <v>1.6191</v>
      </c>
      <c r="G156" s="645">
        <v>17.740000000000002</v>
      </c>
      <c r="H156" s="645">
        <v>32.43</v>
      </c>
      <c r="I156" s="645">
        <v>1.2987</v>
      </c>
      <c r="J156" s="645">
        <v>4.3999999999999995</v>
      </c>
      <c r="K156" s="645">
        <v>1.386790909090909</v>
      </c>
      <c r="L156" s="645">
        <v>1.7604499999999996</v>
      </c>
      <c r="M156" s="645">
        <v>0.97631363636363633</v>
      </c>
      <c r="N156" s="645">
        <v>1.5924</v>
      </c>
      <c r="O156" s="645">
        <v>17.891818181818188</v>
      </c>
      <c r="P156" s="645">
        <v>32.534999999999989</v>
      </c>
      <c r="Q156" s="645">
        <v>1.2998181818181818</v>
      </c>
      <c r="R156" s="645">
        <v>4.4131818181818181</v>
      </c>
    </row>
    <row r="157" spans="1:18" ht="15.75" customHeight="1">
      <c r="A157" s="239"/>
      <c r="B157" s="273" t="s">
        <v>112</v>
      </c>
      <c r="C157" s="643">
        <v>1.3603000000000001</v>
      </c>
      <c r="D157" s="645">
        <v>1.8186</v>
      </c>
      <c r="E157" s="645">
        <v>1.0033000000000001</v>
      </c>
      <c r="F157" s="645">
        <v>1.6236999999999999</v>
      </c>
      <c r="G157" s="645">
        <v>17.549999999999997</v>
      </c>
      <c r="H157" s="645">
        <v>32.67</v>
      </c>
      <c r="I157" s="645">
        <v>1.2844</v>
      </c>
      <c r="J157" s="645">
        <v>4.38</v>
      </c>
      <c r="K157" s="645">
        <v>1.3692380952380954</v>
      </c>
      <c r="L157" s="645">
        <v>1.7985809523809526</v>
      </c>
      <c r="M157" s="645">
        <v>0.98601904761904768</v>
      </c>
      <c r="N157" s="645">
        <v>1.6197714285714286</v>
      </c>
      <c r="O157" s="645">
        <v>17.667619047619048</v>
      </c>
      <c r="P157" s="645">
        <v>32.710952380952385</v>
      </c>
      <c r="Q157" s="645">
        <v>1.2911714285714286</v>
      </c>
      <c r="R157" s="645">
        <v>4.3871428571428579</v>
      </c>
    </row>
    <row r="158" spans="1:18" ht="15.75" customHeight="1">
      <c r="A158" s="239"/>
      <c r="B158" s="273" t="s">
        <v>113</v>
      </c>
      <c r="C158" s="645">
        <v>1.3653999999999999</v>
      </c>
      <c r="D158" s="645">
        <v>1.7642</v>
      </c>
      <c r="E158" s="645">
        <v>0.97789999999999999</v>
      </c>
      <c r="F158" s="645">
        <v>1.6003000000000001</v>
      </c>
      <c r="G158" s="645">
        <v>17.62</v>
      </c>
      <c r="H158" s="645">
        <v>32.86</v>
      </c>
      <c r="I158" s="645">
        <v>1.2951999999999999</v>
      </c>
      <c r="J158" s="645">
        <v>4.32</v>
      </c>
      <c r="K158" s="645">
        <v>1.3661818181818179</v>
      </c>
      <c r="L158" s="645">
        <v>1.7699045454545455</v>
      </c>
      <c r="M158" s="645">
        <v>0.987290909090909</v>
      </c>
      <c r="N158" s="645">
        <v>1.6102272727272726</v>
      </c>
      <c r="O158" s="645">
        <v>17.63</v>
      </c>
      <c r="P158" s="645">
        <v>32.933181818181815</v>
      </c>
      <c r="Q158" s="645">
        <v>1.2937681818181819</v>
      </c>
      <c r="R158" s="645">
        <v>4.3549999999999986</v>
      </c>
    </row>
    <row r="159" spans="1:18" ht="15.75" customHeight="1">
      <c r="A159" s="239"/>
      <c r="B159" s="273" t="s">
        <v>114</v>
      </c>
      <c r="C159" s="645">
        <v>1.3664000000000001</v>
      </c>
      <c r="D159" s="645">
        <v>1.7699</v>
      </c>
      <c r="E159" s="645">
        <v>0.96040000000000003</v>
      </c>
      <c r="F159" s="645">
        <v>1.5913999999999999</v>
      </c>
      <c r="G159" s="645">
        <v>17.630000000000003</v>
      </c>
      <c r="H159" s="645">
        <v>32.9</v>
      </c>
      <c r="I159" s="645">
        <v>1.3057000000000001</v>
      </c>
      <c r="J159" s="645">
        <v>4.3900000000000006</v>
      </c>
      <c r="K159" s="645">
        <v>1.3600772727272725</v>
      </c>
      <c r="L159" s="645">
        <v>1.7652045454545457</v>
      </c>
      <c r="M159" s="645">
        <v>0.96880454545454553</v>
      </c>
      <c r="N159" s="645">
        <v>1.600259090909091</v>
      </c>
      <c r="O159" s="645">
        <v>17.547727272727272</v>
      </c>
      <c r="P159" s="645">
        <v>32.75409090909092</v>
      </c>
      <c r="Q159" s="645">
        <v>1.2926227272727273</v>
      </c>
      <c r="R159" s="645">
        <v>4.3531818181818167</v>
      </c>
    </row>
    <row r="160" spans="1:18" ht="15.75" customHeight="1">
      <c r="A160" s="239"/>
      <c r="B160" s="273" t="s">
        <v>115</v>
      </c>
      <c r="C160" s="645">
        <v>1.3416999999999999</v>
      </c>
      <c r="D160" s="645">
        <v>1.7874000000000001</v>
      </c>
      <c r="E160" s="645">
        <v>0.98529999999999995</v>
      </c>
      <c r="F160" s="645">
        <v>1.6003000000000001</v>
      </c>
      <c r="G160" s="645">
        <v>17.309999999999999</v>
      </c>
      <c r="H160" s="645">
        <v>32.93</v>
      </c>
      <c r="I160" s="645">
        <v>1.2862</v>
      </c>
      <c r="J160" s="645">
        <v>4.43</v>
      </c>
      <c r="K160" s="645">
        <v>1.3472000000000002</v>
      </c>
      <c r="L160" s="645">
        <v>1.7804952380952381</v>
      </c>
      <c r="M160" s="645">
        <v>0.9807904761904761</v>
      </c>
      <c r="N160" s="645">
        <v>1.5946999999999998</v>
      </c>
      <c r="O160" s="645">
        <v>17.373333333333335</v>
      </c>
      <c r="P160" s="645">
        <v>32.76</v>
      </c>
      <c r="Q160" s="645">
        <v>1.2899333333333334</v>
      </c>
      <c r="R160" s="645">
        <v>4.4233333333333329</v>
      </c>
    </row>
    <row r="161" spans="1:18" ht="15.75" customHeight="1">
      <c r="A161" s="240"/>
      <c r="B161" s="274" t="s">
        <v>116</v>
      </c>
      <c r="C161" s="652">
        <v>1.3221000000000001</v>
      </c>
      <c r="D161" s="651">
        <v>1.8061</v>
      </c>
      <c r="E161" s="651">
        <v>1.0167999999999999</v>
      </c>
      <c r="F161" s="651">
        <v>1.6146</v>
      </c>
      <c r="G161" s="651">
        <v>17.04</v>
      </c>
      <c r="H161" s="651">
        <v>32.86</v>
      </c>
      <c r="I161" s="651">
        <v>1.2787999999999999</v>
      </c>
      <c r="J161" s="651">
        <v>4.41</v>
      </c>
      <c r="K161" s="651">
        <v>1.3323739130434782</v>
      </c>
      <c r="L161" s="651">
        <v>1.7916304347826084</v>
      </c>
      <c r="M161" s="651">
        <v>1.0040521739130437</v>
      </c>
      <c r="N161" s="651">
        <v>1.6217956521739132</v>
      </c>
      <c r="O161" s="651">
        <v>17.181739130434782</v>
      </c>
      <c r="P161" s="651">
        <v>32.83652173913044</v>
      </c>
      <c r="Q161" s="651">
        <v>1.2838695652173917</v>
      </c>
      <c r="R161" s="651">
        <v>4.4286956521739125</v>
      </c>
    </row>
    <row r="162" spans="1:18" ht="15.75" customHeight="1">
      <c r="A162" s="238">
        <v>2021</v>
      </c>
      <c r="B162" s="272" t="s">
        <v>105</v>
      </c>
      <c r="C162" s="637">
        <v>1.329</v>
      </c>
      <c r="D162" s="639">
        <v>1.8212999999999999</v>
      </c>
      <c r="E162" s="639">
        <v>1.016</v>
      </c>
      <c r="F162" s="639">
        <v>1.6127</v>
      </c>
      <c r="G162" s="639">
        <v>17.14</v>
      </c>
      <c r="H162" s="639">
        <v>32.9</v>
      </c>
      <c r="I162" s="639">
        <v>1.2690999999999999</v>
      </c>
      <c r="J162" s="639">
        <v>4.4400000000000004</v>
      </c>
      <c r="K162" s="639">
        <v>1.3259500000000002</v>
      </c>
      <c r="L162" s="639">
        <v>1.808945</v>
      </c>
      <c r="M162" s="639">
        <v>1.024165</v>
      </c>
      <c r="N162" s="639">
        <v>1.6138550000000003</v>
      </c>
      <c r="O162" s="639">
        <v>17.099999999999998</v>
      </c>
      <c r="P162" s="639">
        <v>32.832499999999989</v>
      </c>
      <c r="Q162" s="639">
        <v>1.2778699999999998</v>
      </c>
      <c r="R162" s="639">
        <v>4.4175000000000022</v>
      </c>
    </row>
    <row r="163" spans="1:18" ht="15.75" customHeight="1">
      <c r="A163" s="239"/>
      <c r="B163" s="273" t="s">
        <v>106</v>
      </c>
      <c r="C163" s="643">
        <v>1.3326</v>
      </c>
      <c r="D163" s="645">
        <v>1.8559000000000001</v>
      </c>
      <c r="E163" s="645">
        <v>1.0268999999999999</v>
      </c>
      <c r="F163" s="645">
        <v>1.6086</v>
      </c>
      <c r="G163" s="645">
        <v>17.18</v>
      </c>
      <c r="H163" s="645">
        <v>32.910000000000004</v>
      </c>
      <c r="I163" s="645">
        <v>1.2506999999999999</v>
      </c>
      <c r="J163" s="645">
        <v>4.37</v>
      </c>
      <c r="K163" s="645">
        <v>1.3277749999999999</v>
      </c>
      <c r="L163" s="645">
        <v>1.8412049999999998</v>
      </c>
      <c r="M163" s="645">
        <v>1.0296049999999999</v>
      </c>
      <c r="N163" s="645">
        <v>1.6058650000000003</v>
      </c>
      <c r="O163" s="645">
        <v>17.125499999999999</v>
      </c>
      <c r="P163" s="645">
        <v>32.811</v>
      </c>
      <c r="Q163" s="645">
        <v>1.26017</v>
      </c>
      <c r="R163" s="645">
        <v>4.4230000000000009</v>
      </c>
    </row>
    <row r="164" spans="1:18" ht="15.75" customHeight="1">
      <c r="A164" s="239"/>
      <c r="B164" s="273" t="s">
        <v>107</v>
      </c>
      <c r="C164" s="643">
        <v>1.3448</v>
      </c>
      <c r="D164" s="645">
        <v>1.8537999999999999</v>
      </c>
      <c r="E164" s="645">
        <v>1.0221</v>
      </c>
      <c r="F164" s="645">
        <v>1.5774999999999999</v>
      </c>
      <c r="G164" s="645">
        <v>17.309999999999999</v>
      </c>
      <c r="H164" s="645">
        <v>32.450000000000003</v>
      </c>
      <c r="I164" s="645">
        <v>1.2151000000000001</v>
      </c>
      <c r="J164" s="645">
        <v>4.3099999999999996</v>
      </c>
      <c r="K164" s="645">
        <v>1.3424739130434782</v>
      </c>
      <c r="L164" s="645">
        <v>1.8619894736842102</v>
      </c>
      <c r="M164" s="645">
        <v>1.0362315789473684</v>
      </c>
      <c r="N164" s="645">
        <v>1.6005210526315787</v>
      </c>
      <c r="O164" s="645">
        <v>17.281052631578948</v>
      </c>
      <c r="P164" s="645">
        <v>32.701578947368425</v>
      </c>
      <c r="Q164" s="645">
        <v>1.237194736842105</v>
      </c>
      <c r="R164" s="645">
        <v>4.3715789473684215</v>
      </c>
    </row>
    <row r="165" spans="1:18" ht="15.75" customHeight="1">
      <c r="A165" s="239"/>
      <c r="B165" s="273" t="s">
        <v>108</v>
      </c>
      <c r="C165" s="643">
        <v>1.3308</v>
      </c>
      <c r="D165" s="645">
        <v>1.8381000000000001</v>
      </c>
      <c r="E165" s="645">
        <v>1.0264</v>
      </c>
      <c r="F165" s="645">
        <v>1.5993999999999999</v>
      </c>
      <c r="G165" s="645">
        <v>17.130000000000003</v>
      </c>
      <c r="H165" s="645">
        <v>32.49</v>
      </c>
      <c r="I165" s="645">
        <v>1.2171000000000001</v>
      </c>
      <c r="J165" s="645">
        <v>4.2700000000000005</v>
      </c>
      <c r="K165" s="645">
        <v>1.3346681818181816</v>
      </c>
      <c r="L165" s="645">
        <v>1.847409090909091</v>
      </c>
      <c r="M165" s="645">
        <v>1.027790909090909</v>
      </c>
      <c r="N165" s="645">
        <v>1.5976318181818181</v>
      </c>
      <c r="O165" s="645">
        <v>17.176818181818181</v>
      </c>
      <c r="P165" s="645">
        <v>32.37952380952381</v>
      </c>
      <c r="Q165" s="645">
        <v>1.2239727272727274</v>
      </c>
      <c r="R165" s="645">
        <v>4.2609090909090899</v>
      </c>
    </row>
    <row r="166" spans="1:18" ht="15.75" customHeight="1">
      <c r="A166" s="239"/>
      <c r="B166" s="273" t="s">
        <v>109</v>
      </c>
      <c r="C166" s="661">
        <v>1.3217000000000001</v>
      </c>
      <c r="D166" s="645">
        <v>1.8777999999999999</v>
      </c>
      <c r="E166" s="662">
        <v>1.0218</v>
      </c>
      <c r="F166" s="662">
        <v>1.6153999999999999</v>
      </c>
      <c r="G166" s="662">
        <v>17.03</v>
      </c>
      <c r="H166" s="662">
        <v>32.07</v>
      </c>
      <c r="I166" s="662">
        <v>1.2057</v>
      </c>
      <c r="J166" s="662">
        <v>4.24</v>
      </c>
      <c r="K166" s="645">
        <v>1.3295238095238096</v>
      </c>
      <c r="L166" s="645">
        <v>1.8731380952380954</v>
      </c>
      <c r="M166" s="645">
        <v>1.0318619047619049</v>
      </c>
      <c r="N166" s="645">
        <v>1.6151952380952384</v>
      </c>
      <c r="O166" s="662">
        <v>17.123333333333328</v>
      </c>
      <c r="P166" s="662">
        <v>32.212222222222223</v>
      </c>
      <c r="Q166" s="662">
        <v>1.2180476190476188</v>
      </c>
      <c r="R166" s="662">
        <v>4.2509523809523797</v>
      </c>
    </row>
    <row r="167" spans="1:18" ht="15.75" customHeight="1">
      <c r="A167" s="239"/>
      <c r="B167" s="273" t="s">
        <v>110</v>
      </c>
      <c r="C167" s="643">
        <v>1.3453999999999999</v>
      </c>
      <c r="D167" s="645">
        <v>1.8608</v>
      </c>
      <c r="E167" s="645">
        <v>1.0088999999999999</v>
      </c>
      <c r="F167" s="645">
        <v>1.5951</v>
      </c>
      <c r="G167" s="645">
        <v>17.330000000000002</v>
      </c>
      <c r="H167" s="645">
        <v>32.409999999999997</v>
      </c>
      <c r="I167" s="645">
        <v>1.2109000000000001</v>
      </c>
      <c r="J167" s="645">
        <v>4.2</v>
      </c>
      <c r="K167" s="645">
        <v>1.3340090909090911</v>
      </c>
      <c r="L167" s="645">
        <v>1.8702181818181816</v>
      </c>
      <c r="M167" s="645">
        <v>1.018981818181818</v>
      </c>
      <c r="N167" s="645">
        <v>1.6061136363636366</v>
      </c>
      <c r="O167" s="645">
        <v>17.191818181818181</v>
      </c>
      <c r="P167" s="645">
        <v>32.256190476190476</v>
      </c>
      <c r="Q167" s="645">
        <v>1.2110545454545454</v>
      </c>
      <c r="R167" s="645">
        <v>4.2422727272727263</v>
      </c>
    </row>
    <row r="168" spans="1:18" ht="15.75" customHeight="1">
      <c r="A168" s="239"/>
      <c r="B168" s="273" t="s">
        <v>117</v>
      </c>
      <c r="C168" s="643">
        <v>1.3544</v>
      </c>
      <c r="D168" s="645">
        <v>1.8828</v>
      </c>
      <c r="E168" s="645">
        <v>0.99470000000000003</v>
      </c>
      <c r="F168" s="645">
        <v>1.6073</v>
      </c>
      <c r="G168" s="645">
        <v>17.43</v>
      </c>
      <c r="H168" s="645">
        <v>32.090000000000003</v>
      </c>
      <c r="I168" s="645">
        <v>1.2347999999999999</v>
      </c>
      <c r="J168" s="645">
        <v>4.1099999999999994</v>
      </c>
      <c r="K168" s="645">
        <v>1.3549363636363636</v>
      </c>
      <c r="L168" s="645">
        <v>1.8714500000000003</v>
      </c>
      <c r="M168" s="645">
        <v>1.0056636363636362</v>
      </c>
      <c r="N168" s="645">
        <v>1.6021409090909089</v>
      </c>
      <c r="O168" s="645">
        <v>17.439090909090908</v>
      </c>
      <c r="P168" s="645">
        <v>32.234999999999999</v>
      </c>
      <c r="Q168" s="645">
        <v>1.2292045454545455</v>
      </c>
      <c r="R168" s="645">
        <v>4.1527272727272715</v>
      </c>
    </row>
    <row r="169" spans="1:18" ht="15.75" customHeight="1">
      <c r="A169" s="239"/>
      <c r="B169" s="273" t="s">
        <v>112</v>
      </c>
      <c r="C169" s="645">
        <v>1.3449</v>
      </c>
      <c r="D169" s="645">
        <v>1.8498000000000001</v>
      </c>
      <c r="E169" s="645">
        <v>0.98370000000000002</v>
      </c>
      <c r="F169" s="645">
        <v>1.5878999999999999</v>
      </c>
      <c r="G169" s="645">
        <v>17.29</v>
      </c>
      <c r="H169" s="645">
        <v>32.379999999999995</v>
      </c>
      <c r="I169" s="645">
        <v>1.2224999999999999</v>
      </c>
      <c r="J169" s="645">
        <v>4.17</v>
      </c>
      <c r="K169" s="645">
        <v>1.3548318181818182</v>
      </c>
      <c r="L169" s="645">
        <v>1.8691772727272729</v>
      </c>
      <c r="M169" s="645">
        <v>0.98955454545454558</v>
      </c>
      <c r="N169" s="645">
        <v>1.5944</v>
      </c>
      <c r="O169" s="645">
        <v>17.41</v>
      </c>
      <c r="P169" s="645">
        <v>32.125454545454545</v>
      </c>
      <c r="Q169" s="645">
        <v>1.2334818181818183</v>
      </c>
      <c r="R169" s="645">
        <v>4.0972727272727276</v>
      </c>
    </row>
    <row r="170" spans="1:18" ht="15.75" customHeight="1">
      <c r="A170" s="239"/>
      <c r="B170" s="273" t="s">
        <v>113</v>
      </c>
      <c r="C170" s="643">
        <v>1.3576999999999999</v>
      </c>
      <c r="D170" s="645">
        <v>1.8294999999999999</v>
      </c>
      <c r="E170" s="645">
        <v>0.98129999999999995</v>
      </c>
      <c r="F170" s="645">
        <v>1.5718999999999999</v>
      </c>
      <c r="G170" s="645">
        <v>17.440000000000001</v>
      </c>
      <c r="H170" s="645">
        <v>32.440000000000005</v>
      </c>
      <c r="I170" s="645">
        <v>1.2202999999999999</v>
      </c>
      <c r="J170" s="645">
        <v>4.04</v>
      </c>
      <c r="K170" s="645">
        <v>1.3480818181818184</v>
      </c>
      <c r="L170" s="645">
        <v>1.8506454545454545</v>
      </c>
      <c r="M170" s="645">
        <v>0.98614090909090912</v>
      </c>
      <c r="N170" s="645">
        <v>1.5860727272727273</v>
      </c>
      <c r="O170" s="645">
        <v>17.329545454545453</v>
      </c>
      <c r="P170" s="645">
        <v>32.338636363636361</v>
      </c>
      <c r="Q170" s="645">
        <v>1.223727272727273</v>
      </c>
      <c r="R170" s="645">
        <v>4.0786363636363632</v>
      </c>
    </row>
    <row r="171" spans="1:18" ht="15.75" customHeight="1">
      <c r="A171" s="239"/>
      <c r="B171" s="273" t="s">
        <v>114</v>
      </c>
      <c r="C171" s="645">
        <v>1.3488</v>
      </c>
      <c r="D171" s="645">
        <v>1.8460000000000001</v>
      </c>
      <c r="E171" s="645">
        <v>1.0142</v>
      </c>
      <c r="F171" s="645">
        <v>1.5592999999999999</v>
      </c>
      <c r="G171" s="645">
        <v>17.34</v>
      </c>
      <c r="H171" s="645">
        <v>32.57</v>
      </c>
      <c r="I171" s="645">
        <v>1.1831</v>
      </c>
      <c r="J171" s="645">
        <v>4.05</v>
      </c>
      <c r="K171" s="645">
        <v>1.3511571428571429</v>
      </c>
      <c r="L171" s="645">
        <v>1.8498142857142861</v>
      </c>
      <c r="M171" s="645">
        <v>1.0007999999999999</v>
      </c>
      <c r="N171" s="645">
        <v>1.5671238095238094</v>
      </c>
      <c r="O171" s="645">
        <v>17.37</v>
      </c>
      <c r="P171" s="645">
        <v>32.457142857142863</v>
      </c>
      <c r="Q171" s="645">
        <v>1.1939761904761903</v>
      </c>
      <c r="R171" s="645">
        <v>4.0423809523809524</v>
      </c>
    </row>
    <row r="172" spans="1:18" ht="15.75" customHeight="1">
      <c r="A172" s="239"/>
      <c r="B172" s="273" t="s">
        <v>115</v>
      </c>
      <c r="C172" s="643">
        <v>1.365</v>
      </c>
      <c r="D172" s="645">
        <v>1.8146</v>
      </c>
      <c r="E172" s="645">
        <v>0.97230000000000005</v>
      </c>
      <c r="F172" s="645">
        <v>1.5468999999999999</v>
      </c>
      <c r="G172" s="645">
        <v>17.5</v>
      </c>
      <c r="H172" s="645">
        <v>32.450000000000003</v>
      </c>
      <c r="I172" s="645">
        <v>1.2057</v>
      </c>
      <c r="J172" s="645">
        <v>4.05</v>
      </c>
      <c r="K172" s="645">
        <v>1.3570909090909091</v>
      </c>
      <c r="L172" s="645">
        <v>1.825209090909091</v>
      </c>
      <c r="M172" s="645">
        <v>0.99054999999999993</v>
      </c>
      <c r="N172" s="645">
        <v>1.547945454545455</v>
      </c>
      <c r="O172" s="645">
        <v>17.423181818181817</v>
      </c>
      <c r="P172" s="645">
        <v>32.473181818181814</v>
      </c>
      <c r="Q172" s="645">
        <v>1.1897409090909092</v>
      </c>
      <c r="R172" s="645">
        <v>4.1054545454545455</v>
      </c>
    </row>
    <row r="173" spans="1:18" ht="15.75" customHeight="1">
      <c r="A173" s="240"/>
      <c r="B173" s="274" t="s">
        <v>116</v>
      </c>
      <c r="C173" s="649">
        <v>1.349</v>
      </c>
      <c r="D173" s="651">
        <v>1.8243</v>
      </c>
      <c r="E173" s="651">
        <v>0.98</v>
      </c>
      <c r="F173" s="651">
        <v>1.5337000000000001</v>
      </c>
      <c r="G173" s="651">
        <v>17.299999999999997</v>
      </c>
      <c r="H173" s="651">
        <v>32.39</v>
      </c>
      <c r="I173" s="651">
        <v>1.1716</v>
      </c>
      <c r="J173" s="651">
        <v>4.0599999999999996</v>
      </c>
      <c r="K173" s="651">
        <v>1.3627608695652174</v>
      </c>
      <c r="L173" s="651">
        <v>1.8148347826086957</v>
      </c>
      <c r="M173" s="651">
        <v>0.97613478260869546</v>
      </c>
      <c r="N173" s="651">
        <v>1.5408304347826092</v>
      </c>
      <c r="O173" s="651">
        <v>17.476521739130437</v>
      </c>
      <c r="P173" s="651">
        <v>32.36347826086957</v>
      </c>
      <c r="Q173" s="651">
        <v>1.1960000000000002</v>
      </c>
      <c r="R173" s="651">
        <v>4.0647826086956513</v>
      </c>
    </row>
    <row r="174" spans="1:18" ht="15.75" customHeight="1">
      <c r="A174" s="238">
        <v>2022</v>
      </c>
      <c r="B174" s="272" t="s">
        <v>105</v>
      </c>
      <c r="C174" s="639">
        <v>1.3512999999999999</v>
      </c>
      <c r="D174" s="639">
        <v>1.8169999999999999</v>
      </c>
      <c r="E174" s="639">
        <v>0.95520000000000005</v>
      </c>
      <c r="F174" s="639">
        <v>1.5181</v>
      </c>
      <c r="G174" s="639">
        <v>17.34</v>
      </c>
      <c r="H174" s="639">
        <v>32.369999999999997</v>
      </c>
      <c r="I174" s="639">
        <v>1.1736</v>
      </c>
      <c r="J174" s="639">
        <v>4.07</v>
      </c>
      <c r="K174" s="639">
        <v>1.3507238095238097</v>
      </c>
      <c r="L174" s="639">
        <v>1.8312809523809523</v>
      </c>
      <c r="M174" s="639">
        <v>0.96926666666666672</v>
      </c>
      <c r="N174" s="639">
        <v>1.5290571428571431</v>
      </c>
      <c r="O174" s="639">
        <v>17.342857142857149</v>
      </c>
      <c r="P174" s="639">
        <v>32.257619047619052</v>
      </c>
      <c r="Q174" s="639">
        <v>1.1762000000000001</v>
      </c>
      <c r="R174" s="639">
        <v>4.0704761904761897</v>
      </c>
    </row>
    <row r="175" spans="1:18" ht="15.75" customHeight="1">
      <c r="A175" s="239"/>
      <c r="B175" s="273" t="s">
        <v>106</v>
      </c>
      <c r="C175" s="645">
        <v>1.3549</v>
      </c>
      <c r="D175" s="645">
        <v>1.8178000000000001</v>
      </c>
      <c r="E175" s="645">
        <v>0.98409999999999997</v>
      </c>
      <c r="F175" s="645">
        <v>1.5202</v>
      </c>
      <c r="G175" s="645">
        <v>17.349999999999998</v>
      </c>
      <c r="H175" s="645">
        <v>32.33</v>
      </c>
      <c r="I175" s="645">
        <v>1.1785000000000001</v>
      </c>
      <c r="J175" s="645">
        <v>4.1500000000000004</v>
      </c>
      <c r="K175" s="645">
        <v>1.3467399999999998</v>
      </c>
      <c r="L175" s="645">
        <v>1.8231850000000001</v>
      </c>
      <c r="M175" s="645">
        <v>0.96542500000000031</v>
      </c>
      <c r="N175" s="645">
        <v>1.527625</v>
      </c>
      <c r="O175" s="645">
        <v>17.2715</v>
      </c>
      <c r="P175" s="645">
        <v>32.171500000000002</v>
      </c>
      <c r="Q175" s="645">
        <v>1.1688700000000001</v>
      </c>
      <c r="R175" s="645">
        <v>4.1320000000000006</v>
      </c>
    </row>
    <row r="176" spans="1:18" ht="15.75" customHeight="1">
      <c r="A176" s="239"/>
      <c r="B176" s="273" t="s">
        <v>107</v>
      </c>
      <c r="C176" s="645">
        <v>1.3545</v>
      </c>
      <c r="D176" s="645">
        <v>1.7808999999999999</v>
      </c>
      <c r="E176" s="645">
        <v>1.0141</v>
      </c>
      <c r="F176" s="645">
        <v>1.4997</v>
      </c>
      <c r="G176" s="645">
        <v>17.299999999999997</v>
      </c>
      <c r="H176" s="645">
        <v>32.24</v>
      </c>
      <c r="I176" s="645">
        <v>1.1134999999999999</v>
      </c>
      <c r="J176" s="645">
        <v>4.08</v>
      </c>
      <c r="K176" s="645">
        <v>1.3587391304347827</v>
      </c>
      <c r="L176" s="645">
        <v>1.7888739130434785</v>
      </c>
      <c r="M176" s="645">
        <v>1.0023130434782606</v>
      </c>
      <c r="N176" s="645">
        <v>1.4967739130434783</v>
      </c>
      <c r="O176" s="645">
        <v>17.37086956521739</v>
      </c>
      <c r="P176" s="645">
        <v>32.346521739130431</v>
      </c>
      <c r="Q176" s="645">
        <v>1.1452913043478261</v>
      </c>
      <c r="R176" s="645">
        <v>4.0904347826086962</v>
      </c>
    </row>
    <row r="177" spans="1:18" ht="15.75" customHeight="1">
      <c r="A177" s="239"/>
      <c r="B177" s="273" t="s">
        <v>108</v>
      </c>
      <c r="C177" s="645">
        <v>1.3834</v>
      </c>
      <c r="D177" s="645">
        <v>1.7392000000000001</v>
      </c>
      <c r="E177" s="645">
        <v>0.97670000000000001</v>
      </c>
      <c r="F177" s="645">
        <v>1.4585999999999999</v>
      </c>
      <c r="G177" s="645">
        <v>17.630000000000003</v>
      </c>
      <c r="H177" s="645">
        <v>31.740000000000002</v>
      </c>
      <c r="I177" s="645">
        <v>1.0658000000000001</v>
      </c>
      <c r="J177" s="645">
        <v>4.04</v>
      </c>
      <c r="K177" s="645">
        <v>1.3664666666666665</v>
      </c>
      <c r="L177" s="645">
        <v>1.7670714285714286</v>
      </c>
      <c r="M177" s="645">
        <v>1.0057285714285715</v>
      </c>
      <c r="N177" s="645">
        <v>1.4758380952380952</v>
      </c>
      <c r="O177" s="645">
        <v>17.42761904761905</v>
      </c>
      <c r="P177" s="645">
        <v>31.996190476190478</v>
      </c>
      <c r="Q177" s="645">
        <v>1.0811238095238094</v>
      </c>
      <c r="R177" s="645">
        <v>4.0466666666666651</v>
      </c>
    </row>
    <row r="178" spans="1:18" ht="15.75" customHeight="1">
      <c r="A178" s="239"/>
      <c r="B178" s="273" t="s">
        <v>109</v>
      </c>
      <c r="C178" s="645">
        <v>1.3698999999999999</v>
      </c>
      <c r="D178" s="645">
        <v>1.7270000000000001</v>
      </c>
      <c r="E178" s="645">
        <v>0.98350000000000004</v>
      </c>
      <c r="F178" s="645">
        <v>1.4708000000000001</v>
      </c>
      <c r="G178" s="645">
        <v>17.47</v>
      </c>
      <c r="H178" s="645">
        <v>31.31</v>
      </c>
      <c r="I178" s="645">
        <v>1.0647</v>
      </c>
      <c r="J178" s="645">
        <v>4</v>
      </c>
      <c r="K178" s="645">
        <v>1.3820954545454547</v>
      </c>
      <c r="L178" s="645">
        <v>1.7210863636363636</v>
      </c>
      <c r="M178" s="645">
        <v>0.97482272727272734</v>
      </c>
      <c r="N178" s="645">
        <v>1.4623727272727274</v>
      </c>
      <c r="O178" s="645">
        <v>17.610454545454544</v>
      </c>
      <c r="P178" s="645">
        <v>31.549545454545452</v>
      </c>
      <c r="Q178" s="645">
        <v>1.0731136363636362</v>
      </c>
      <c r="R178" s="645">
        <v>4.0200000000000005</v>
      </c>
    </row>
    <row r="179" spans="1:18" ht="15.75" customHeight="1">
      <c r="A179" s="239"/>
      <c r="B179" s="273" t="s">
        <v>110</v>
      </c>
      <c r="C179" s="645">
        <v>1.3905000000000001</v>
      </c>
      <c r="D179" s="645">
        <v>1.6920999999999999</v>
      </c>
      <c r="E179" s="645">
        <v>0.95930000000000004</v>
      </c>
      <c r="F179" s="645">
        <v>1.4564999999999999</v>
      </c>
      <c r="G179" s="645">
        <v>17.71</v>
      </c>
      <c r="H179" s="645">
        <v>31.630000000000003</v>
      </c>
      <c r="I179" s="645">
        <v>1.0235000000000001</v>
      </c>
      <c r="J179" s="645">
        <v>3.94</v>
      </c>
      <c r="K179" s="645">
        <v>1.3846499999999999</v>
      </c>
      <c r="L179" s="645">
        <v>1.7054681818181818</v>
      </c>
      <c r="M179" s="645">
        <v>0.97229545454545463</v>
      </c>
      <c r="N179" s="645">
        <v>1.4627136363636362</v>
      </c>
      <c r="O179" s="645">
        <v>17.645909090909093</v>
      </c>
      <c r="P179" s="645">
        <v>31.47136363636363</v>
      </c>
      <c r="Q179" s="645">
        <v>1.0323045454545454</v>
      </c>
      <c r="R179" s="645">
        <v>3.9672727272727282</v>
      </c>
    </row>
    <row r="180" spans="1:18" ht="15.75" customHeight="1">
      <c r="A180" s="239"/>
      <c r="B180" s="273" t="s">
        <v>117</v>
      </c>
      <c r="C180" s="645">
        <v>1.3805000000000001</v>
      </c>
      <c r="D180" s="645">
        <v>1.6816</v>
      </c>
      <c r="E180" s="645">
        <v>0.96519999999999995</v>
      </c>
      <c r="F180" s="645">
        <v>1.4117999999999999</v>
      </c>
      <c r="G180" s="645">
        <v>17.59</v>
      </c>
      <c r="H180" s="645">
        <v>30.990000000000002</v>
      </c>
      <c r="I180" s="645">
        <v>1.0364</v>
      </c>
      <c r="J180" s="645">
        <v>3.81</v>
      </c>
      <c r="K180" s="645">
        <v>1.3954380952380949</v>
      </c>
      <c r="L180" s="645">
        <v>1.6746190476190475</v>
      </c>
      <c r="M180" s="645">
        <v>0.95738571428571428</v>
      </c>
      <c r="N180" s="645">
        <v>1.4208619047619049</v>
      </c>
      <c r="O180" s="645">
        <v>17.781904761904759</v>
      </c>
      <c r="P180" s="645">
        <v>31.429999999999996</v>
      </c>
      <c r="Q180" s="645">
        <v>1.0212047619047619</v>
      </c>
      <c r="R180" s="645">
        <v>3.8419047619047628</v>
      </c>
    </row>
    <row r="181" spans="1:18" ht="15.75" customHeight="1">
      <c r="A181" s="239"/>
      <c r="B181" s="273" t="s">
        <v>112</v>
      </c>
      <c r="C181" s="645">
        <v>1.3971</v>
      </c>
      <c r="D181" s="645">
        <v>1.6240000000000001</v>
      </c>
      <c r="E181" s="645">
        <v>0.95609999999999995</v>
      </c>
      <c r="F181" s="645">
        <v>1.4047000000000001</v>
      </c>
      <c r="G181" s="645">
        <v>17.8</v>
      </c>
      <c r="H181" s="645">
        <v>31.25</v>
      </c>
      <c r="I181" s="645">
        <v>1.0055000000000001</v>
      </c>
      <c r="J181" s="645">
        <v>3.82</v>
      </c>
      <c r="K181" s="645">
        <v>1.3843913043478262</v>
      </c>
      <c r="L181" s="645">
        <v>1.6576086956521743</v>
      </c>
      <c r="M181" s="645">
        <v>0.96301304347826089</v>
      </c>
      <c r="N181" s="645">
        <v>1.4013565217391304</v>
      </c>
      <c r="O181" s="645">
        <v>17.646956521739128</v>
      </c>
      <c r="P181" s="645">
        <v>30.993478260869566</v>
      </c>
      <c r="Q181" s="645">
        <v>1.0228260869565218</v>
      </c>
      <c r="R181" s="645">
        <v>3.8643478260869566</v>
      </c>
    </row>
    <row r="182" spans="1:18" ht="15.75" customHeight="1">
      <c r="A182" s="239"/>
      <c r="B182" s="273" t="s">
        <v>113</v>
      </c>
      <c r="C182" s="645">
        <v>1.4353</v>
      </c>
      <c r="D182" s="645">
        <v>1.6041000000000001</v>
      </c>
      <c r="E182" s="645">
        <v>0.91949999999999998</v>
      </c>
      <c r="F182" s="645">
        <v>1.4078999999999999</v>
      </c>
      <c r="G182" s="645">
        <v>18.3</v>
      </c>
      <c r="H182" s="645">
        <v>30.97</v>
      </c>
      <c r="I182" s="645">
        <v>0.99209999999999998</v>
      </c>
      <c r="J182" s="645">
        <v>3.8</v>
      </c>
      <c r="K182" s="645">
        <v>1.4142409090909092</v>
      </c>
      <c r="L182" s="645">
        <v>1.6010500000000001</v>
      </c>
      <c r="M182" s="645">
        <v>0.94362272727272756</v>
      </c>
      <c r="N182" s="645">
        <v>1.3998318181818183</v>
      </c>
      <c r="O182" s="645">
        <v>18.021363636363638</v>
      </c>
      <c r="P182" s="645">
        <v>31.119090909090914</v>
      </c>
      <c r="Q182" s="645">
        <v>0.98749545454545462</v>
      </c>
      <c r="R182" s="645">
        <v>3.8227272727272728</v>
      </c>
    </row>
    <row r="183" spans="1:18" ht="15.75" customHeight="1">
      <c r="A183" s="239"/>
      <c r="B183" s="273" t="s">
        <v>114</v>
      </c>
      <c r="C183" s="645">
        <v>1.4165000000000001</v>
      </c>
      <c r="D183" s="645">
        <v>1.6240000000000001</v>
      </c>
      <c r="E183" s="645">
        <v>0.90620000000000001</v>
      </c>
      <c r="F183" s="645">
        <v>1.3997999999999999</v>
      </c>
      <c r="G183" s="645">
        <v>18.05</v>
      </c>
      <c r="H183" s="645">
        <v>29.959999999999997</v>
      </c>
      <c r="I183" s="645">
        <v>0.95240000000000002</v>
      </c>
      <c r="J183" s="645">
        <v>3.73</v>
      </c>
      <c r="K183" s="645">
        <v>1.4237285714285715</v>
      </c>
      <c r="L183" s="645">
        <v>1.6099380952380951</v>
      </c>
      <c r="M183" s="645">
        <v>0.90603809523809509</v>
      </c>
      <c r="N183" s="645">
        <v>1.4013380952380952</v>
      </c>
      <c r="O183" s="645">
        <v>18.140476190476193</v>
      </c>
      <c r="P183" s="645">
        <v>30.34571428571428</v>
      </c>
      <c r="Q183" s="645">
        <v>0.96776190476190493</v>
      </c>
      <c r="R183" s="645">
        <v>3.7552380952380964</v>
      </c>
    </row>
    <row r="184" spans="1:18" ht="15.75" customHeight="1">
      <c r="A184" s="239"/>
      <c r="B184" s="273" t="s">
        <v>115</v>
      </c>
      <c r="C184" s="645">
        <v>1.3614999999999999</v>
      </c>
      <c r="D184" s="645">
        <v>1.6417999999999999</v>
      </c>
      <c r="E184" s="645">
        <v>0.92420000000000002</v>
      </c>
      <c r="F184" s="645">
        <v>1.4171</v>
      </c>
      <c r="G184" s="645">
        <v>17.43</v>
      </c>
      <c r="H184" s="645">
        <v>30.73</v>
      </c>
      <c r="I184" s="645">
        <v>0.98580000000000001</v>
      </c>
      <c r="J184" s="645">
        <v>3.88</v>
      </c>
      <c r="K184" s="645">
        <v>1.3856727272727274</v>
      </c>
      <c r="L184" s="645">
        <v>1.6284454545454545</v>
      </c>
      <c r="M184" s="645">
        <v>0.91578636363636401</v>
      </c>
      <c r="N184" s="645">
        <v>1.4145272727272724</v>
      </c>
      <c r="O184" s="645">
        <v>17.698181818181819</v>
      </c>
      <c r="P184" s="645">
        <v>30.088636363636368</v>
      </c>
      <c r="Q184" s="645">
        <v>0.97570454545454555</v>
      </c>
      <c r="R184" s="645">
        <v>3.8177272727272724</v>
      </c>
    </row>
    <row r="185" spans="1:18" ht="15.75" customHeight="1">
      <c r="A185" s="240"/>
      <c r="B185" s="274" t="s">
        <v>116</v>
      </c>
      <c r="C185" s="651">
        <v>1.3394999999999999</v>
      </c>
      <c r="D185" s="651">
        <v>1.6220000000000001</v>
      </c>
      <c r="E185" s="651">
        <v>0.91379999999999995</v>
      </c>
      <c r="F185" s="651">
        <v>1.4353</v>
      </c>
      <c r="G185" s="651">
        <v>17.190000000000001</v>
      </c>
      <c r="H185" s="651">
        <v>30.44</v>
      </c>
      <c r="I185" s="651">
        <v>1.0224</v>
      </c>
      <c r="J185" s="651">
        <v>3.88</v>
      </c>
      <c r="K185" s="651">
        <v>1.3520000000000001</v>
      </c>
      <c r="L185" s="651">
        <v>1.6454181818181823</v>
      </c>
      <c r="M185" s="651">
        <v>0.9120136363636363</v>
      </c>
      <c r="N185" s="651">
        <v>1.431809090909091</v>
      </c>
      <c r="O185" s="651">
        <v>17.364545454545453</v>
      </c>
      <c r="P185" s="651">
        <v>30.655714285714286</v>
      </c>
      <c r="Q185" s="651">
        <v>1.002440909090909</v>
      </c>
      <c r="R185" s="651">
        <v>3.8909090909090915</v>
      </c>
    </row>
    <row r="186" spans="1:18" ht="15.65" customHeight="1">
      <c r="A186" s="238">
        <v>2023</v>
      </c>
      <c r="B186" s="272" t="s">
        <v>105</v>
      </c>
      <c r="C186" s="639">
        <v>1.3139000000000001</v>
      </c>
      <c r="D186" s="639">
        <v>1.6186</v>
      </c>
      <c r="E186" s="639">
        <v>0.92689999999999995</v>
      </c>
      <c r="F186" s="639">
        <v>1.4272</v>
      </c>
      <c r="G186" s="639">
        <v>16.760000000000002</v>
      </c>
      <c r="H186" s="639">
        <v>30.79</v>
      </c>
      <c r="I186" s="639">
        <v>1.0099</v>
      </c>
      <c r="J186" s="639">
        <v>4.01</v>
      </c>
      <c r="K186" s="639">
        <v>1.3253681818181819</v>
      </c>
      <c r="L186" s="639">
        <v>1.6216272727272725</v>
      </c>
      <c r="M186" s="639">
        <v>0.92113636363636386</v>
      </c>
      <c r="N186" s="639">
        <v>1.4283454545454548</v>
      </c>
      <c r="O186" s="639">
        <v>16.950000000000003</v>
      </c>
      <c r="P186" s="639">
        <v>30.638947368421054</v>
      </c>
      <c r="Q186" s="639">
        <v>1.0165409090909094</v>
      </c>
      <c r="R186" s="639">
        <v>3.9904545454545461</v>
      </c>
    </row>
    <row r="187" spans="1:18" ht="15.75" customHeight="1">
      <c r="A187" s="239"/>
      <c r="B187" s="273" t="s">
        <v>106</v>
      </c>
      <c r="C187" s="645">
        <v>1.3484</v>
      </c>
      <c r="D187" s="645">
        <v>1.6211</v>
      </c>
      <c r="E187" s="645">
        <v>0.90739999999999998</v>
      </c>
      <c r="F187" s="645">
        <v>1.4260999999999999</v>
      </c>
      <c r="G187" s="645">
        <v>17.18</v>
      </c>
      <c r="H187" s="645">
        <v>30.049999999999997</v>
      </c>
      <c r="I187" s="645">
        <v>0.98980000000000001</v>
      </c>
      <c r="J187" s="645">
        <v>3.83</v>
      </c>
      <c r="K187" s="645">
        <v>1.3322300000000002</v>
      </c>
      <c r="L187" s="645">
        <v>1.6091200000000001</v>
      </c>
      <c r="M187" s="645">
        <v>0.91871500000000006</v>
      </c>
      <c r="N187" s="645">
        <v>1.4256549999999999</v>
      </c>
      <c r="O187" s="645">
        <v>16.982000000000003</v>
      </c>
      <c r="P187" s="645">
        <v>30.45210526315789</v>
      </c>
      <c r="Q187" s="645">
        <v>1.0008050000000002</v>
      </c>
      <c r="R187" s="645">
        <v>3.9109999999999991</v>
      </c>
    </row>
    <row r="188" spans="1:18" ht="15.75" customHeight="1">
      <c r="A188" s="239"/>
      <c r="B188" s="273" t="s">
        <v>107</v>
      </c>
      <c r="C188" s="645">
        <v>1.3309</v>
      </c>
      <c r="D188" s="645">
        <v>1.6425000000000001</v>
      </c>
      <c r="E188" s="645">
        <v>0.88980000000000004</v>
      </c>
      <c r="F188" s="645">
        <v>1.444</v>
      </c>
      <c r="G188" s="645">
        <v>16.97</v>
      </c>
      <c r="H188" s="645">
        <v>30.130000000000003</v>
      </c>
      <c r="I188" s="645">
        <v>1.0029999999999999</v>
      </c>
      <c r="J188" s="645">
        <v>3.9</v>
      </c>
      <c r="K188" s="645">
        <v>1.3405478260869563</v>
      </c>
      <c r="L188" s="645">
        <v>1.6277304347826089</v>
      </c>
      <c r="M188" s="645">
        <v>0.89462173913043475</v>
      </c>
      <c r="N188" s="645">
        <v>1.4359304347826085</v>
      </c>
      <c r="O188" s="645">
        <v>17.081739130434784</v>
      </c>
      <c r="P188" s="645">
        <v>30.019130434782603</v>
      </c>
      <c r="Q188" s="645">
        <v>1.0029869565217389</v>
      </c>
      <c r="R188" s="645">
        <v>3.890869565217391</v>
      </c>
    </row>
    <row r="189" spans="1:18" ht="15.75" customHeight="1">
      <c r="A189" s="239"/>
      <c r="B189" s="273" t="s">
        <v>108</v>
      </c>
      <c r="C189" s="645">
        <v>1.3344</v>
      </c>
      <c r="D189" s="645">
        <v>1.6777</v>
      </c>
      <c r="E189" s="645">
        <v>0.88349999999999995</v>
      </c>
      <c r="F189" s="645">
        <v>1.4705999999999999</v>
      </c>
      <c r="G189" s="645">
        <v>17</v>
      </c>
      <c r="H189" s="645">
        <v>29.970000000000002</v>
      </c>
      <c r="I189" s="645">
        <v>0.98</v>
      </c>
      <c r="J189" s="645">
        <v>3.91</v>
      </c>
      <c r="K189" s="645">
        <v>1.3319319999999999</v>
      </c>
      <c r="L189" s="645">
        <v>1.6573399999999998</v>
      </c>
      <c r="M189" s="645">
        <v>0.89039200000000007</v>
      </c>
      <c r="N189" s="645">
        <v>1.459716</v>
      </c>
      <c r="O189" s="645">
        <v>16.968</v>
      </c>
      <c r="P189" s="645">
        <v>30.098800000000004</v>
      </c>
      <c r="Q189" s="645">
        <v>0.99752799999999975</v>
      </c>
      <c r="R189" s="645">
        <v>3.890000000000001</v>
      </c>
    </row>
    <row r="190" spans="1:18" ht="15.75" customHeight="1">
      <c r="A190" s="239"/>
      <c r="B190" s="273" t="s">
        <v>109</v>
      </c>
      <c r="C190" s="645">
        <v>1.3516999999999999</v>
      </c>
      <c r="D190" s="645">
        <v>1.6818</v>
      </c>
      <c r="E190" s="645">
        <v>0.87919999999999998</v>
      </c>
      <c r="F190" s="645">
        <v>1.4451000000000001</v>
      </c>
      <c r="G190" s="645">
        <v>17.27</v>
      </c>
      <c r="H190" s="645">
        <v>29.310000000000002</v>
      </c>
      <c r="I190" s="645">
        <v>0.97050000000000003</v>
      </c>
      <c r="J190" s="645">
        <v>3.9</v>
      </c>
      <c r="K190" s="645">
        <v>1.3399478260869568</v>
      </c>
      <c r="L190" s="645">
        <v>1.6720043478260873</v>
      </c>
      <c r="M190" s="645">
        <v>0.88987391304347818</v>
      </c>
      <c r="N190" s="645">
        <v>1.4555304347826088</v>
      </c>
      <c r="O190" s="645">
        <v>17.102608695652176</v>
      </c>
      <c r="P190" s="645">
        <v>29.643636363636368</v>
      </c>
      <c r="Q190" s="645">
        <v>0.97650434782608708</v>
      </c>
      <c r="R190" s="645">
        <v>3.9178260869565227</v>
      </c>
    </row>
    <row r="191" spans="1:18" ht="15.75" customHeight="1">
      <c r="A191" s="239"/>
      <c r="B191" s="273" t="s">
        <v>110</v>
      </c>
      <c r="C191" s="645">
        <v>1.3524</v>
      </c>
      <c r="D191" s="645">
        <v>1.7166999999999999</v>
      </c>
      <c r="E191" s="645">
        <v>0.90090000000000003</v>
      </c>
      <c r="F191" s="645">
        <v>1.4754</v>
      </c>
      <c r="G191" s="645">
        <v>17.260000000000002</v>
      </c>
      <c r="H191" s="645">
        <v>29.060000000000002</v>
      </c>
      <c r="I191" s="645">
        <v>0.93710000000000004</v>
      </c>
      <c r="J191" s="645">
        <v>3.83</v>
      </c>
      <c r="K191" s="645">
        <v>1.3462818181818184</v>
      </c>
      <c r="L191" s="645">
        <v>1.7011954545454544</v>
      </c>
      <c r="M191" s="645">
        <v>0.90416818181818182</v>
      </c>
      <c r="N191" s="645">
        <v>1.4601363636363636</v>
      </c>
      <c r="O191" s="645">
        <v>17.19318181818182</v>
      </c>
      <c r="P191" s="645">
        <v>29.041428571428575</v>
      </c>
      <c r="Q191" s="645">
        <v>0.95199545454545464</v>
      </c>
      <c r="R191" s="645">
        <v>3.8600000000000017</v>
      </c>
    </row>
    <row r="192" spans="1:18" ht="15.75" customHeight="1">
      <c r="A192" s="239"/>
      <c r="B192" s="273" t="s">
        <v>117</v>
      </c>
      <c r="C192" s="645">
        <v>1.3295999999999999</v>
      </c>
      <c r="D192" s="645">
        <v>1.7065999999999999</v>
      </c>
      <c r="E192" s="645">
        <v>0.8931</v>
      </c>
      <c r="F192" s="645">
        <v>1.4621999999999999</v>
      </c>
      <c r="G192" s="645">
        <v>17.059999999999999</v>
      </c>
      <c r="H192" s="645">
        <v>29.5</v>
      </c>
      <c r="I192" s="645">
        <v>0.93459999999999999</v>
      </c>
      <c r="J192" s="645">
        <v>3.88</v>
      </c>
      <c r="K192" s="645">
        <v>1.3342285714285713</v>
      </c>
      <c r="L192" s="645">
        <v>1.7191666666666667</v>
      </c>
      <c r="M192" s="645">
        <v>0.89885238095238107</v>
      </c>
      <c r="N192" s="645">
        <v>1.4752714285714286</v>
      </c>
      <c r="O192" s="645">
        <v>17.072857142857139</v>
      </c>
      <c r="P192" s="645">
        <v>29.070952380952374</v>
      </c>
      <c r="Q192" s="645">
        <v>0.9461142857142858</v>
      </c>
      <c r="R192" s="645">
        <v>3.8590476190476184</v>
      </c>
    </row>
    <row r="193" spans="1:18" ht="15.75" customHeight="1">
      <c r="A193" s="239"/>
      <c r="B193" s="273" t="s">
        <v>112</v>
      </c>
      <c r="C193" s="645">
        <v>1.3512</v>
      </c>
      <c r="D193" s="645">
        <v>1.7124999999999999</v>
      </c>
      <c r="E193" s="645">
        <v>0.87629999999999997</v>
      </c>
      <c r="F193" s="645">
        <v>1.4653</v>
      </c>
      <c r="G193" s="645">
        <v>17.239999999999998</v>
      </c>
      <c r="H193" s="645">
        <v>29.12</v>
      </c>
      <c r="I193" s="645">
        <v>0.92849999999999999</v>
      </c>
      <c r="J193" s="645">
        <v>3.8600000000000003</v>
      </c>
      <c r="K193" s="645">
        <v>1.3509304347826088</v>
      </c>
      <c r="L193" s="645">
        <v>1.716313043478261</v>
      </c>
      <c r="M193" s="645">
        <v>0.87580869565217367</v>
      </c>
      <c r="N193" s="645">
        <v>1.4733913043478264</v>
      </c>
      <c r="O193" s="645">
        <v>17.263478260869569</v>
      </c>
      <c r="P193" s="645">
        <v>29.297826086956537</v>
      </c>
      <c r="Q193" s="645">
        <v>0.93249565217391295</v>
      </c>
      <c r="R193" s="645">
        <v>3.8578260869565213</v>
      </c>
    </row>
    <row r="194" spans="1:18" ht="15.75" customHeight="1">
      <c r="A194" s="239"/>
      <c r="B194" s="273" t="s">
        <v>113</v>
      </c>
      <c r="C194" s="645">
        <v>1.3662000000000001</v>
      </c>
      <c r="D194" s="645">
        <v>1.6669</v>
      </c>
      <c r="E194" s="645">
        <v>0.87909999999999999</v>
      </c>
      <c r="F194" s="645">
        <v>1.4440999999999999</v>
      </c>
      <c r="G194" s="645">
        <v>17.45</v>
      </c>
      <c r="H194" s="645">
        <v>29.04</v>
      </c>
      <c r="I194" s="645">
        <v>0.91459999999999997</v>
      </c>
      <c r="J194" s="645">
        <v>3.74</v>
      </c>
      <c r="K194" s="645">
        <v>1.3637333333333335</v>
      </c>
      <c r="L194" s="645">
        <v>1.6889047619047619</v>
      </c>
      <c r="M194" s="645">
        <v>0.87544285714285708</v>
      </c>
      <c r="N194" s="645">
        <v>1.4552904761904764</v>
      </c>
      <c r="O194" s="645">
        <v>17.423333333333336</v>
      </c>
      <c r="P194" s="645">
        <v>29.115714285714283</v>
      </c>
      <c r="Q194" s="645">
        <v>0.92215714285714312</v>
      </c>
      <c r="R194" s="645">
        <v>3.8057142857142852</v>
      </c>
    </row>
    <row r="195" spans="1:18" ht="15.75" customHeight="1">
      <c r="A195" s="239"/>
      <c r="B195" s="273" t="s">
        <v>114</v>
      </c>
      <c r="C195" s="645">
        <v>1.3696999999999999</v>
      </c>
      <c r="D195" s="645">
        <v>1.6645000000000001</v>
      </c>
      <c r="E195" s="645">
        <v>0.86819999999999997</v>
      </c>
      <c r="F195" s="645">
        <v>1.4484999999999999</v>
      </c>
      <c r="G195" s="645">
        <v>17.510000000000002</v>
      </c>
      <c r="H195" s="645">
        <v>28.749999999999996</v>
      </c>
      <c r="I195" s="645">
        <v>0.90290000000000004</v>
      </c>
      <c r="J195" s="645">
        <v>3.7900000000000005</v>
      </c>
      <c r="K195" s="645">
        <v>1.3688772727272727</v>
      </c>
      <c r="L195" s="645">
        <v>1.6664772727272725</v>
      </c>
      <c r="M195" s="645">
        <v>0.86907272727272722</v>
      </c>
      <c r="N195" s="645">
        <v>1.4461181818181819</v>
      </c>
      <c r="O195" s="645">
        <v>17.498181818181816</v>
      </c>
      <c r="P195" s="645">
        <v>28.846363636363638</v>
      </c>
      <c r="Q195" s="645">
        <v>0.9150636363636363</v>
      </c>
      <c r="R195" s="645">
        <v>3.7568181818181827</v>
      </c>
    </row>
    <row r="196" spans="1:18" ht="15.75" customHeight="1">
      <c r="A196" s="239"/>
      <c r="B196" s="273" t="s">
        <v>115</v>
      </c>
      <c r="C196" s="645">
        <v>1.3372999999999999</v>
      </c>
      <c r="D196" s="645">
        <v>1.6881999999999999</v>
      </c>
      <c r="E196" s="645">
        <v>0.88329999999999997</v>
      </c>
      <c r="F196" s="645">
        <v>1.4560999999999999</v>
      </c>
      <c r="G196" s="645">
        <v>17.130000000000003</v>
      </c>
      <c r="H196" s="645">
        <v>28.689999999999998</v>
      </c>
      <c r="I196" s="645">
        <v>0.90239999999999998</v>
      </c>
      <c r="J196" s="645">
        <v>3.7900000000000005</v>
      </c>
      <c r="K196" s="645">
        <v>1.3479999999999999</v>
      </c>
      <c r="L196" s="645">
        <v>1.6756454545454547</v>
      </c>
      <c r="M196" s="645">
        <v>0.87645909090909091</v>
      </c>
      <c r="N196" s="645">
        <v>1.4580727272727274</v>
      </c>
      <c r="O196" s="645">
        <v>17.270909090909093</v>
      </c>
      <c r="P196" s="645">
        <v>28.743809523809528</v>
      </c>
      <c r="Q196" s="645">
        <v>0.89982727272727248</v>
      </c>
      <c r="R196" s="645">
        <v>3.8077272727272731</v>
      </c>
    </row>
    <row r="197" spans="1:18" ht="15.75" customHeight="1">
      <c r="A197" s="240"/>
      <c r="B197" s="274" t="s">
        <v>116</v>
      </c>
      <c r="C197" s="651">
        <v>1.3203</v>
      </c>
      <c r="D197" s="651">
        <v>1.68</v>
      </c>
      <c r="E197" s="651">
        <v>0.89870000000000005</v>
      </c>
      <c r="F197" s="651">
        <v>1.4568000000000001</v>
      </c>
      <c r="G197" s="651">
        <v>16.900000000000002</v>
      </c>
      <c r="H197" s="651">
        <v>28.720000000000002</v>
      </c>
      <c r="I197" s="651">
        <v>0.93559999999999999</v>
      </c>
      <c r="J197" s="651">
        <v>3.84</v>
      </c>
      <c r="K197" s="651">
        <v>1.3316999999999999</v>
      </c>
      <c r="L197" s="651">
        <v>1.6861428571428567</v>
      </c>
      <c r="M197" s="651">
        <v>0.89207142857142852</v>
      </c>
      <c r="N197" s="651">
        <v>1.4539857142857142</v>
      </c>
      <c r="O197" s="651">
        <v>17.05714285714286</v>
      </c>
      <c r="P197" s="651">
        <v>28.588000000000001</v>
      </c>
      <c r="Q197" s="651">
        <v>0.92615238095238106</v>
      </c>
      <c r="R197" s="651">
        <v>3.8128571428571436</v>
      </c>
    </row>
    <row r="198" spans="1:18" ht="15.75" customHeight="1">
      <c r="A198" s="238">
        <v>2024</v>
      </c>
      <c r="B198" s="272" t="s">
        <v>105</v>
      </c>
      <c r="C198" s="639">
        <v>1.3408</v>
      </c>
      <c r="D198" s="639">
        <v>1.7007000000000001</v>
      </c>
      <c r="E198" s="639">
        <v>0.88029999999999997</v>
      </c>
      <c r="F198" s="639">
        <v>1.4503999999999999</v>
      </c>
      <c r="G198" s="639">
        <v>17.14</v>
      </c>
      <c r="H198" s="639">
        <v>28.32</v>
      </c>
      <c r="I198" s="639">
        <v>0.91190000000000004</v>
      </c>
      <c r="J198" s="639">
        <v>3.7699999999999996</v>
      </c>
      <c r="K198" s="639">
        <v>1.3361954545454546</v>
      </c>
      <c r="L198" s="639">
        <v>1.6974590909090908</v>
      </c>
      <c r="M198" s="639">
        <v>0.88687727272727279</v>
      </c>
      <c r="N198" s="639">
        <v>1.4564636363636365</v>
      </c>
      <c r="O198" s="639">
        <v>17.097272727272728</v>
      </c>
      <c r="P198" s="639">
        <v>28.506363636363641</v>
      </c>
      <c r="Q198" s="639">
        <v>0.91345000000000021</v>
      </c>
      <c r="R198" s="639">
        <v>3.7981818181818179</v>
      </c>
    </row>
    <row r="199" spans="1:18" ht="15.75" customHeight="1">
      <c r="A199" s="239"/>
      <c r="B199" s="273" t="s">
        <v>106</v>
      </c>
      <c r="C199" s="645">
        <v>1.3456999999999999</v>
      </c>
      <c r="D199" s="645">
        <v>1.6988000000000001</v>
      </c>
      <c r="E199" s="645">
        <v>0.87439999999999996</v>
      </c>
      <c r="F199" s="645">
        <v>1.4538</v>
      </c>
      <c r="G199" s="645">
        <v>17.190000000000001</v>
      </c>
      <c r="H199" s="645">
        <v>28.37</v>
      </c>
      <c r="I199" s="645">
        <v>0.8972</v>
      </c>
      <c r="J199" s="645">
        <v>3.75</v>
      </c>
      <c r="K199" s="645">
        <v>1.3449666666666669</v>
      </c>
      <c r="L199" s="645">
        <v>1.6985714285714284</v>
      </c>
      <c r="M199" s="645">
        <v>0.87742380952380949</v>
      </c>
      <c r="N199" s="645">
        <v>1.4514047619047616</v>
      </c>
      <c r="O199" s="645">
        <v>17.198095238095235</v>
      </c>
      <c r="P199" s="645">
        <v>28.206999999999994</v>
      </c>
      <c r="Q199" s="645">
        <v>0.89887142857142854</v>
      </c>
      <c r="R199" s="645">
        <v>3.7528571428571418</v>
      </c>
    </row>
    <row r="200" spans="1:18" ht="15.75" customHeight="1">
      <c r="A200" s="239"/>
      <c r="B200" s="273" t="s">
        <v>107</v>
      </c>
      <c r="C200" s="645">
        <v>1.3492999999999999</v>
      </c>
      <c r="D200" s="645">
        <v>1.7034</v>
      </c>
      <c r="E200" s="645">
        <v>0.87970000000000004</v>
      </c>
      <c r="F200" s="645">
        <v>1.4529000000000001</v>
      </c>
      <c r="G200" s="645">
        <v>17.239999999999998</v>
      </c>
      <c r="H200" s="645">
        <v>28.549999999999997</v>
      </c>
      <c r="I200" s="645">
        <v>0.89139999999999997</v>
      </c>
      <c r="J200" s="645">
        <v>3.71</v>
      </c>
      <c r="K200" s="645">
        <v>1.3406857142857145</v>
      </c>
      <c r="L200" s="645">
        <v>1.7045142857142854</v>
      </c>
      <c r="M200" s="645">
        <v>0.87936666666666652</v>
      </c>
      <c r="N200" s="645">
        <v>1.4573238095238095</v>
      </c>
      <c r="O200" s="645">
        <v>17.140476190476193</v>
      </c>
      <c r="P200" s="645">
        <v>28.437142857142856</v>
      </c>
      <c r="Q200" s="645">
        <v>0.89494761904761888</v>
      </c>
      <c r="R200" s="645">
        <v>3.7314285714285704</v>
      </c>
    </row>
    <row r="201" spans="1:18" ht="15.75" customHeight="1">
      <c r="A201" s="239"/>
      <c r="B201" s="273" t="s">
        <v>108</v>
      </c>
      <c r="C201" s="645">
        <v>1.3654999999999999</v>
      </c>
      <c r="D201" s="645">
        <v>1.7034</v>
      </c>
      <c r="E201" s="645">
        <v>0.88370000000000004</v>
      </c>
      <c r="F201" s="645">
        <v>1.4562999999999999</v>
      </c>
      <c r="G201" s="645">
        <v>17.45</v>
      </c>
      <c r="H201" s="645">
        <v>28.610000000000003</v>
      </c>
      <c r="I201" s="645">
        <v>0.86570000000000003</v>
      </c>
      <c r="J201" s="645">
        <v>3.6799999999999997</v>
      </c>
      <c r="K201" s="645">
        <v>1.357027272727273</v>
      </c>
      <c r="L201" s="645">
        <v>1.7045142857142854</v>
      </c>
      <c r="M201" s="645">
        <v>0.88286818181818205</v>
      </c>
      <c r="N201" s="645">
        <v>1.4551454545454547</v>
      </c>
      <c r="O201" s="645">
        <v>17.332272727272727</v>
      </c>
      <c r="P201" s="645">
        <v>28.464761904761904</v>
      </c>
      <c r="Q201" s="645">
        <v>0.88158181818181813</v>
      </c>
      <c r="R201" s="645">
        <v>3.6950000000000012</v>
      </c>
    </row>
    <row r="202" spans="1:18" ht="15.75" customHeight="1">
      <c r="A202" s="239"/>
      <c r="B202" s="273" t="s">
        <v>109</v>
      </c>
      <c r="C202" s="645">
        <v>1.3512</v>
      </c>
      <c r="D202" s="645">
        <v>1.7218</v>
      </c>
      <c r="E202" s="645">
        <v>0.89890000000000003</v>
      </c>
      <c r="F202" s="645">
        <v>1.4659</v>
      </c>
      <c r="G202" s="645">
        <v>17.28</v>
      </c>
      <c r="H202" s="645">
        <v>28.720000000000002</v>
      </c>
      <c r="I202" s="645">
        <v>0.8589</v>
      </c>
      <c r="J202" s="645">
        <v>3.6700000000000004</v>
      </c>
      <c r="K202" s="645">
        <v>1.3510521739130434</v>
      </c>
      <c r="L202" s="645">
        <v>1.7076478260869565</v>
      </c>
      <c r="M202" s="645">
        <v>0.89529130434782578</v>
      </c>
      <c r="N202" s="645">
        <v>1.4605000000000004</v>
      </c>
      <c r="O202" s="645">
        <v>17.298260869565215</v>
      </c>
      <c r="P202" s="645">
        <v>28.648260869565217</v>
      </c>
      <c r="Q202" s="645">
        <v>0.86705652173913061</v>
      </c>
      <c r="R202" s="645">
        <v>3.6917391304347813</v>
      </c>
    </row>
    <row r="203" spans="1:18" ht="15.75" customHeight="1">
      <c r="A203" s="239"/>
      <c r="B203" s="273" t="s">
        <v>110</v>
      </c>
      <c r="C203" s="645">
        <v>1.3560000000000001</v>
      </c>
      <c r="D203" s="645">
        <v>1.7146999999999999</v>
      </c>
      <c r="E203" s="645">
        <v>0.90449999999999997</v>
      </c>
      <c r="F203" s="645">
        <v>1.4527000000000001</v>
      </c>
      <c r="G203" s="645">
        <v>17.37</v>
      </c>
      <c r="H203" s="645">
        <v>28.720000000000002</v>
      </c>
      <c r="I203" s="645">
        <v>0.84279999999999999</v>
      </c>
      <c r="J203" s="645">
        <v>3.6900000000000004</v>
      </c>
      <c r="K203" s="645">
        <v>1.3519650000000001</v>
      </c>
      <c r="L203" s="645">
        <v>1.7190699999999997</v>
      </c>
      <c r="M203" s="645">
        <v>0.89821499999999987</v>
      </c>
      <c r="N203" s="645">
        <v>1.4551000000000001</v>
      </c>
      <c r="O203" s="645">
        <v>17.314499999999999</v>
      </c>
      <c r="P203" s="645">
        <v>28.666000000000004</v>
      </c>
      <c r="Q203" s="645">
        <v>0.85605500000000012</v>
      </c>
      <c r="R203" s="645">
        <v>3.6869999999999998</v>
      </c>
    </row>
    <row r="204" spans="1:18" ht="15.75" customHeight="1">
      <c r="A204" s="239"/>
      <c r="B204" s="273" t="s">
        <v>117</v>
      </c>
      <c r="C204" s="645">
        <v>1.3360000000000001</v>
      </c>
      <c r="D204" s="645">
        <v>1.7146999999999999</v>
      </c>
      <c r="E204" s="645">
        <v>0.874</v>
      </c>
      <c r="F204" s="645">
        <v>1.4460999999999999</v>
      </c>
      <c r="G204" s="645">
        <v>17.100000000000001</v>
      </c>
      <c r="H204" s="645">
        <v>28.720000000000002</v>
      </c>
      <c r="I204" s="645">
        <v>0.89070000000000005</v>
      </c>
      <c r="J204" s="645">
        <v>3.7600000000000002</v>
      </c>
      <c r="K204" s="645">
        <v>1.3456545454545457</v>
      </c>
      <c r="L204" s="645">
        <v>1.7190699999999997</v>
      </c>
      <c r="M204" s="645">
        <v>0.89785909090909122</v>
      </c>
      <c r="N204" s="645">
        <v>1.459913636363636</v>
      </c>
      <c r="O204" s="645">
        <v>17.233636363636364</v>
      </c>
      <c r="P204" s="645">
        <v>28.666000000000004</v>
      </c>
      <c r="Q204" s="645">
        <v>0.85495909090909095</v>
      </c>
      <c r="R204" s="645">
        <v>3.7190909090909101</v>
      </c>
    </row>
    <row r="205" spans="1:18" ht="15.75" customHeight="1">
      <c r="A205" s="239"/>
      <c r="B205" s="273" t="s">
        <v>112</v>
      </c>
      <c r="C205" s="645">
        <v>1.3067</v>
      </c>
      <c r="D205" s="645">
        <v>1.7153</v>
      </c>
      <c r="E205" s="645">
        <v>0.88449999999999995</v>
      </c>
      <c r="F205" s="645">
        <v>1.4433</v>
      </c>
      <c r="G205" s="645">
        <v>16.760000000000002</v>
      </c>
      <c r="H205" s="645">
        <v>30.209999999999997</v>
      </c>
      <c r="I205" s="645">
        <v>0.89380000000000004</v>
      </c>
      <c r="J205" s="645">
        <v>3.84</v>
      </c>
      <c r="K205" s="645">
        <v>1.3153272727272727</v>
      </c>
      <c r="L205" s="645">
        <v>1.7027772727272725</v>
      </c>
      <c r="M205" s="645">
        <v>0.87555000000000005</v>
      </c>
      <c r="N205" s="645">
        <v>1.4496818181818183</v>
      </c>
      <c r="O205" s="645">
        <v>16.87409090909091</v>
      </c>
      <c r="P205" s="645">
        <v>29.797727272727276</v>
      </c>
      <c r="Q205" s="645">
        <v>0.90009090909090905</v>
      </c>
      <c r="R205" s="645">
        <v>3.7909090909090901</v>
      </c>
    </row>
    <row r="206" spans="1:18" ht="15.75" customHeight="1">
      <c r="A206" s="239"/>
      <c r="B206" s="273" t="s">
        <v>113</v>
      </c>
      <c r="C206" s="645">
        <v>1.2849999999999999</v>
      </c>
      <c r="D206" s="645">
        <v>1.7190000000000001</v>
      </c>
      <c r="E206" s="645">
        <v>0.88800000000000001</v>
      </c>
      <c r="F206" s="645">
        <v>1.431</v>
      </c>
      <c r="G206" s="645">
        <v>16.54</v>
      </c>
      <c r="H206" s="645">
        <v>31.12</v>
      </c>
      <c r="I206" s="645">
        <v>0.89500000000000002</v>
      </c>
      <c r="J206" s="645">
        <v>3.96</v>
      </c>
      <c r="K206" s="645">
        <v>1.296</v>
      </c>
      <c r="L206" s="645">
        <v>1.7130000000000001</v>
      </c>
      <c r="M206" s="645">
        <v>0.878</v>
      </c>
      <c r="N206" s="645">
        <v>1.4390000000000001</v>
      </c>
      <c r="O206" s="645">
        <v>16.638000000000002</v>
      </c>
      <c r="P206" s="645">
        <v>30.413</v>
      </c>
      <c r="Q206" s="645">
        <v>0.90500000000000003</v>
      </c>
      <c r="R206" s="645">
        <v>3.895</v>
      </c>
    </row>
    <row r="207" spans="1:18" ht="15.75" customHeight="1">
      <c r="A207" s="239"/>
      <c r="B207" s="273" t="s">
        <v>114</v>
      </c>
      <c r="C207" s="645">
        <v>1.3198000000000001</v>
      </c>
      <c r="D207" s="645">
        <v>1.7023999999999999</v>
      </c>
      <c r="E207" s="645">
        <v>0.86870000000000003</v>
      </c>
      <c r="F207" s="645">
        <v>1.4363999999999999</v>
      </c>
      <c r="G207" s="645">
        <v>16.98</v>
      </c>
      <c r="H207" s="645">
        <v>30.220000000000002</v>
      </c>
      <c r="I207" s="645">
        <v>0.86809999999999998</v>
      </c>
      <c r="J207" s="645">
        <v>3.91</v>
      </c>
      <c r="K207" s="645">
        <v>1.3107565217391304</v>
      </c>
      <c r="L207" s="645">
        <v>1.7099043478260871</v>
      </c>
      <c r="M207" s="645">
        <v>0.87828260869565222</v>
      </c>
      <c r="N207" s="645">
        <v>1.4281304347826087</v>
      </c>
      <c r="O207" s="645">
        <v>16.873478260869568</v>
      </c>
      <c r="P207" s="645">
        <v>30.491739130434787</v>
      </c>
      <c r="Q207" s="645">
        <v>0.87443478260869556</v>
      </c>
      <c r="R207" s="645">
        <v>3.927391304347827</v>
      </c>
    </row>
    <row r="208" spans="1:18" ht="15.75" customHeight="1">
      <c r="A208" s="239"/>
      <c r="B208" s="273" t="s">
        <v>115</v>
      </c>
      <c r="C208" s="645">
        <v>1.34</v>
      </c>
      <c r="D208" s="645">
        <v>1.706</v>
      </c>
      <c r="E208" s="645">
        <v>0.872</v>
      </c>
      <c r="F208" s="645">
        <v>1.415</v>
      </c>
      <c r="G208" s="645">
        <v>17.21</v>
      </c>
      <c r="H208" s="645">
        <v>30.16</v>
      </c>
      <c r="I208" s="645">
        <v>0.89500000000000002</v>
      </c>
      <c r="J208" s="645">
        <v>3.91</v>
      </c>
      <c r="K208" s="645">
        <v>1.337</v>
      </c>
      <c r="L208" s="645">
        <v>1.704</v>
      </c>
      <c r="M208" s="645">
        <v>0.873</v>
      </c>
      <c r="N208" s="645">
        <v>1.42</v>
      </c>
      <c r="O208" s="645">
        <v>17.184000000000001</v>
      </c>
      <c r="P208" s="645">
        <v>30.145</v>
      </c>
      <c r="Q208" s="645">
        <v>0.87</v>
      </c>
      <c r="R208" s="645">
        <v>3.8809999999999998</v>
      </c>
    </row>
    <row r="209" spans="1:18" ht="15.75" customHeight="1">
      <c r="A209" s="240"/>
      <c r="B209" s="274" t="s">
        <v>116</v>
      </c>
      <c r="C209" s="651">
        <v>1.3656999999999999</v>
      </c>
      <c r="D209" s="651">
        <v>1.7085999999999999</v>
      </c>
      <c r="E209" s="651">
        <v>0.84499999999999997</v>
      </c>
      <c r="F209" s="651">
        <v>1.4144000000000001</v>
      </c>
      <c r="G209" s="651">
        <v>17.580000000000002</v>
      </c>
      <c r="H209" s="651">
        <v>30.470000000000002</v>
      </c>
      <c r="I209" s="651">
        <v>0.86839999999999995</v>
      </c>
      <c r="J209" s="651">
        <v>3.9800000000000004</v>
      </c>
      <c r="K209" s="651">
        <v>1.3517090909090907</v>
      </c>
      <c r="L209" s="651">
        <v>1.7074227272727271</v>
      </c>
      <c r="M209" s="651">
        <v>0.85477272727272724</v>
      </c>
      <c r="N209" s="651">
        <v>1.4135863636363639</v>
      </c>
      <c r="O209" s="651">
        <v>17.393636363636364</v>
      </c>
      <c r="P209" s="651">
        <v>30.294999999999998</v>
      </c>
      <c r="Q209" s="651">
        <v>0.87751818181818197</v>
      </c>
      <c r="R209" s="651">
        <v>3.9568181818181816</v>
      </c>
    </row>
    <row r="210" spans="1:18" ht="15.75" customHeight="1">
      <c r="A210" s="238">
        <v>2025</v>
      </c>
      <c r="B210" s="272" t="s">
        <v>105</v>
      </c>
      <c r="C210" s="639">
        <v>1.3568</v>
      </c>
      <c r="D210" s="639">
        <v>1.6826000000000001</v>
      </c>
      <c r="E210" s="639">
        <v>0.84279999999999999</v>
      </c>
      <c r="F210" s="639">
        <v>1.4055</v>
      </c>
      <c r="G210" s="639">
        <v>17.41</v>
      </c>
      <c r="H210" s="639">
        <v>30.43</v>
      </c>
      <c r="I210" s="639">
        <v>0.874</v>
      </c>
      <c r="J210" s="639">
        <v>4.0199999999999996</v>
      </c>
      <c r="K210" s="639">
        <v>1.3606863636363637</v>
      </c>
      <c r="L210" s="639">
        <v>1.6808636363636362</v>
      </c>
      <c r="M210" s="639">
        <v>0.84774545454545458</v>
      </c>
      <c r="N210" s="639">
        <v>1.408986363636364</v>
      </c>
      <c r="O210" s="639">
        <v>17.48</v>
      </c>
      <c r="P210" s="639">
        <v>30.470909090909089</v>
      </c>
      <c r="Q210" s="639">
        <v>0.86954999999999982</v>
      </c>
      <c r="R210" s="639">
        <v>3.9763636363636361</v>
      </c>
    </row>
    <row r="211" spans="1:18" ht="15.75" customHeight="1">
      <c r="A211" s="239"/>
      <c r="B211" s="273" t="s">
        <v>106</v>
      </c>
      <c r="C211" s="645">
        <v>1.3513999999999999</v>
      </c>
      <c r="D211" s="645">
        <v>1.6999</v>
      </c>
      <c r="E211" s="645">
        <v>0.83899999999999997</v>
      </c>
      <c r="F211" s="645">
        <v>1.4011</v>
      </c>
      <c r="G211" s="645">
        <v>17.380000000000003</v>
      </c>
      <c r="H211" s="645">
        <v>30.29</v>
      </c>
      <c r="I211" s="645">
        <v>0.89739999999999998</v>
      </c>
      <c r="J211" s="645">
        <v>3.95</v>
      </c>
      <c r="K211" s="645">
        <v>1.3461450000000001</v>
      </c>
      <c r="L211" s="645">
        <v>1.6889400000000001</v>
      </c>
      <c r="M211" s="645">
        <v>0.84867500000000007</v>
      </c>
      <c r="N211" s="645">
        <v>1.4021149999999998</v>
      </c>
      <c r="O211" s="645">
        <v>17.298999999999999</v>
      </c>
      <c r="P211" s="645">
        <v>30.312499999999996</v>
      </c>
      <c r="Q211" s="645">
        <v>0.88834500000000016</v>
      </c>
      <c r="R211" s="645">
        <v>3.9870000000000001</v>
      </c>
    </row>
    <row r="212" spans="1:18" ht="15.75" customHeight="1">
      <c r="A212" s="239"/>
      <c r="B212" s="273" t="s">
        <v>107</v>
      </c>
      <c r="C212" s="645">
        <v>1.343</v>
      </c>
      <c r="D212" s="645">
        <v>1.7350000000000001</v>
      </c>
      <c r="E212" s="645">
        <v>0.83899999999999997</v>
      </c>
      <c r="F212" s="645">
        <v>1.452</v>
      </c>
      <c r="G212" s="645">
        <v>17.260000000000002</v>
      </c>
      <c r="H212" s="645">
        <v>30.23</v>
      </c>
      <c r="I212" s="645">
        <v>0.89500000000000002</v>
      </c>
      <c r="J212" s="645">
        <v>3.96</v>
      </c>
      <c r="K212" s="645">
        <v>1.3360000000000001</v>
      </c>
      <c r="L212" s="645">
        <v>1.726</v>
      </c>
      <c r="M212" s="645">
        <v>0.84199999999999997</v>
      </c>
      <c r="N212" s="645">
        <v>1.444</v>
      </c>
      <c r="O212" s="645">
        <v>17.186</v>
      </c>
      <c r="P212" s="645">
        <v>30.123999999999999</v>
      </c>
      <c r="Q212" s="645">
        <v>0.89600000000000002</v>
      </c>
      <c r="R212" s="645">
        <v>3.9550000000000001</v>
      </c>
    </row>
    <row r="213" spans="1:18" ht="15.75" customHeight="1">
      <c r="A213" s="239"/>
      <c r="B213" s="273" t="s">
        <v>108</v>
      </c>
      <c r="C213" s="645">
        <v>1.3063</v>
      </c>
      <c r="D213" s="645">
        <v>1.7416</v>
      </c>
      <c r="E213" s="645">
        <v>0.83660000000000001</v>
      </c>
      <c r="F213" s="645">
        <v>1.4799</v>
      </c>
      <c r="G213" s="645">
        <v>16.86</v>
      </c>
      <c r="H213" s="645">
        <v>30.270000000000003</v>
      </c>
      <c r="I213" s="645">
        <v>0.91369999999999996</v>
      </c>
      <c r="J213" s="645">
        <v>3.91</v>
      </c>
      <c r="K213" s="645">
        <v>1.3234227272727273</v>
      </c>
      <c r="L213" s="645">
        <v>1.740031818181818</v>
      </c>
      <c r="M213" s="645">
        <v>0.83316363636363633</v>
      </c>
      <c r="N213" s="645">
        <v>1.4849363636363635</v>
      </c>
      <c r="O213" s="645">
        <v>17.049090909090907</v>
      </c>
      <c r="P213" s="645">
        <v>29.987272727272728</v>
      </c>
      <c r="Q213" s="645">
        <v>0.91742272727272745</v>
      </c>
      <c r="R213" s="645">
        <v>3.9227272727272728</v>
      </c>
    </row>
    <row r="214" spans="1:18" ht="15.75" customHeight="1">
      <c r="A214" s="239"/>
      <c r="B214" s="273" t="s">
        <v>109</v>
      </c>
      <c r="C214" s="645">
        <v>1.2909999999999999</v>
      </c>
      <c r="D214" s="645">
        <v>1.7369000000000001</v>
      </c>
      <c r="E214" s="645">
        <v>0.83030000000000004</v>
      </c>
      <c r="F214" s="645">
        <v>1.4648000000000001</v>
      </c>
      <c r="G214" s="645">
        <v>16.46</v>
      </c>
      <c r="H214" s="645">
        <v>30.29</v>
      </c>
      <c r="I214" s="645">
        <v>0.89610000000000001</v>
      </c>
      <c r="J214" s="645">
        <v>3.93</v>
      </c>
      <c r="K214" s="645">
        <v>1.2948681818181818</v>
      </c>
      <c r="L214" s="645">
        <v>1.7303090909090906</v>
      </c>
      <c r="M214" s="645">
        <v>0.83323636363636355</v>
      </c>
      <c r="N214" s="645">
        <v>1.4595409090909088</v>
      </c>
      <c r="O214" s="645">
        <v>16.596363636363638</v>
      </c>
      <c r="P214" s="645">
        <v>30.347727272727269</v>
      </c>
      <c r="Q214" s="645">
        <v>0.89429999999999987</v>
      </c>
      <c r="R214" s="645">
        <v>3.9286363636363641</v>
      </c>
    </row>
    <row r="215" spans="1:18" ht="15.75" customHeight="1">
      <c r="A215" s="239"/>
      <c r="B215" s="273" t="s">
        <v>110</v>
      </c>
      <c r="C215" s="645">
        <v>1.2716000000000001</v>
      </c>
      <c r="D215" s="645">
        <v>1.7463</v>
      </c>
      <c r="E215" s="645">
        <v>0.83679999999999999</v>
      </c>
      <c r="F215" s="645">
        <v>1.4988999999999999</v>
      </c>
      <c r="G215" s="645">
        <v>16.2</v>
      </c>
      <c r="H215" s="645">
        <v>30.3</v>
      </c>
      <c r="I215" s="645">
        <v>0.88290000000000002</v>
      </c>
      <c r="J215" s="645">
        <v>3.92</v>
      </c>
      <c r="K215" s="645">
        <v>1.2831428571428571</v>
      </c>
      <c r="L215" s="645">
        <v>1.7403333333333333</v>
      </c>
      <c r="M215" s="645">
        <v>0.83447142857142864</v>
      </c>
      <c r="N215" s="645">
        <v>1.4792428571428573</v>
      </c>
      <c r="O215" s="645">
        <v>16.351428571428571</v>
      </c>
      <c r="P215" s="645">
        <v>30.254285714285718</v>
      </c>
      <c r="Q215" s="645">
        <v>0.88771428571428568</v>
      </c>
      <c r="R215" s="645">
        <v>3.938095238095237</v>
      </c>
    </row>
    <row r="216" spans="1:18" ht="15.75" customHeight="1">
      <c r="A216" s="239"/>
      <c r="B216" s="273" t="s">
        <v>117</v>
      </c>
      <c r="C216" s="645">
        <v>1.2981</v>
      </c>
      <c r="D216" s="645">
        <v>1.7143999999999999</v>
      </c>
      <c r="E216" s="645">
        <v>0.83399999999999996</v>
      </c>
      <c r="F216" s="645">
        <v>1.4815</v>
      </c>
      <c r="G216" s="645">
        <v>16.54</v>
      </c>
      <c r="H216" s="645">
        <v>30.4</v>
      </c>
      <c r="I216" s="645">
        <v>0.86099999999999999</v>
      </c>
      <c r="J216" s="645">
        <v>3.9699999999999998</v>
      </c>
      <c r="K216" s="645">
        <v>1.2817304347826086</v>
      </c>
      <c r="L216" s="645">
        <v>1.7291826086956519</v>
      </c>
      <c r="M216" s="645">
        <v>0.83776956521739143</v>
      </c>
      <c r="N216" s="645">
        <v>1.4959739130434784</v>
      </c>
      <c r="O216" s="645">
        <v>16.331304347826087</v>
      </c>
      <c r="P216" s="645">
        <v>30.251304347826093</v>
      </c>
      <c r="Q216" s="645">
        <v>0.87140000000000006</v>
      </c>
      <c r="R216" s="645">
        <v>3.9526086956521738</v>
      </c>
    </row>
    <row r="217" spans="1:18" ht="15.75" customHeight="1">
      <c r="A217" s="239"/>
      <c r="B217" s="273" t="s">
        <v>112</v>
      </c>
      <c r="C217" s="645">
        <v>1.284</v>
      </c>
      <c r="D217" s="645">
        <v>1.7338</v>
      </c>
      <c r="E217" s="645">
        <v>0.8397</v>
      </c>
      <c r="F217" s="645">
        <v>1.4994000000000001</v>
      </c>
      <c r="G217" s="645">
        <v>16.470000000000002</v>
      </c>
      <c r="H217" s="645">
        <v>30.37</v>
      </c>
      <c r="I217" s="645">
        <v>0.87309999999999999</v>
      </c>
      <c r="J217" s="645">
        <v>3.9699999999999998</v>
      </c>
      <c r="K217" s="645">
        <v>1.2850619047619047</v>
      </c>
      <c r="L217" s="645">
        <v>1.7288428571428571</v>
      </c>
      <c r="M217" s="645">
        <v>0.83464285714285735</v>
      </c>
      <c r="N217" s="645">
        <v>1.4964952380952381</v>
      </c>
      <c r="O217" s="645">
        <v>16.421428571428574</v>
      </c>
      <c r="P217" s="645">
        <v>30.411428571428573</v>
      </c>
      <c r="Q217" s="645">
        <v>0.87119047619047629</v>
      </c>
      <c r="R217" s="645">
        <v>3.9666666666666668</v>
      </c>
    </row>
    <row r="218" spans="1:18" ht="15.75" customHeight="1">
      <c r="A218" s="239"/>
      <c r="B218" s="273" t="s">
        <v>113</v>
      </c>
      <c r="C218" s="645">
        <v>1.2901</v>
      </c>
      <c r="D218" s="645">
        <v>1.7343</v>
      </c>
      <c r="E218" s="645">
        <v>0.85319999999999996</v>
      </c>
      <c r="F218" s="645">
        <v>1.5136000000000001</v>
      </c>
      <c r="G218" s="645">
        <v>16.580000000000002</v>
      </c>
      <c r="H218" s="645">
        <v>30.659999999999997</v>
      </c>
      <c r="I218" s="645">
        <v>0.872</v>
      </c>
      <c r="J218" s="645">
        <v>3.9800000000000004</v>
      </c>
      <c r="K218" s="645">
        <v>1.2849363636363635</v>
      </c>
      <c r="L218" s="645">
        <v>1.7349727272727271</v>
      </c>
      <c r="M218" s="645">
        <v>0.8472772727272726</v>
      </c>
      <c r="N218" s="645">
        <v>1.5074590909090908</v>
      </c>
      <c r="O218" s="645">
        <v>16.504090909090905</v>
      </c>
      <c r="P218" s="645">
        <v>30.507272727272721</v>
      </c>
      <c r="Q218" s="645">
        <v>0.86877727272727268</v>
      </c>
      <c r="R218" s="645">
        <v>4.0190909090909095</v>
      </c>
    </row>
    <row r="219" spans="1:18" ht="15.75" customHeight="1">
      <c r="A219" s="239"/>
      <c r="B219" s="273" t="s">
        <v>114</v>
      </c>
      <c r="C219" s="645">
        <v>1.3009999999999999</v>
      </c>
      <c r="D219" s="645">
        <v>1.7110000000000001</v>
      </c>
      <c r="E219" s="645">
        <v>0.85199999999999998</v>
      </c>
      <c r="F219" s="645">
        <v>1.502</v>
      </c>
      <c r="G219" s="645">
        <v>16.75</v>
      </c>
      <c r="H219" s="645">
        <v>31.07</v>
      </c>
      <c r="I219" s="645">
        <v>0.84499999999999997</v>
      </c>
      <c r="J219" s="645">
        <v>4.0199999999999996</v>
      </c>
      <c r="K219" s="645">
        <v>1.296</v>
      </c>
      <c r="L219" s="645">
        <v>1.73</v>
      </c>
      <c r="M219" s="645">
        <v>0.84799999999999998</v>
      </c>
      <c r="N219" s="645">
        <v>1.508</v>
      </c>
      <c r="O219" s="645">
        <v>16.667000000000002</v>
      </c>
      <c r="P219" s="645">
        <v>30.733000000000001</v>
      </c>
      <c r="Q219" s="645">
        <v>0.85599999999999998</v>
      </c>
      <c r="R219" s="645">
        <v>3.9820000000000002</v>
      </c>
    </row>
    <row r="220" spans="1:18" ht="15.75" customHeight="1">
      <c r="A220" s="239"/>
      <c r="B220" s="273" t="s">
        <v>115</v>
      </c>
      <c r="C220" s="645">
        <v>1.2967</v>
      </c>
      <c r="D220" s="645">
        <v>1.7159</v>
      </c>
      <c r="E220" s="645">
        <v>0.84930000000000005</v>
      </c>
      <c r="F220" s="645">
        <v>1.5024</v>
      </c>
      <c r="G220" s="645">
        <v>16.66</v>
      </c>
      <c r="H220" s="645">
        <v>31.419999999999998</v>
      </c>
      <c r="I220" s="645">
        <v>0.83009999999999995</v>
      </c>
      <c r="J220" s="645">
        <v>4.04</v>
      </c>
      <c r="K220" s="645">
        <v>1.3027399999999998</v>
      </c>
      <c r="L220" s="645">
        <v>1.7120950000000001</v>
      </c>
      <c r="M220" s="645">
        <v>0.84734999999999994</v>
      </c>
      <c r="N220" s="645">
        <v>1.505925</v>
      </c>
      <c r="O220" s="645">
        <v>16.751500000000004</v>
      </c>
      <c r="P220" s="645">
        <v>31.368499999999997</v>
      </c>
      <c r="Q220" s="645">
        <v>0.83934999999999993</v>
      </c>
      <c r="R220" s="645">
        <v>4.0265000000000013</v>
      </c>
    </row>
    <row r="221" spans="1:18" ht="15.75" customHeight="1">
      <c r="A221" s="240"/>
      <c r="B221" s="274" t="s">
        <v>116</v>
      </c>
      <c r="C221" s="651">
        <v>1.2854000000000001</v>
      </c>
      <c r="D221" s="651">
        <v>1.7323</v>
      </c>
      <c r="E221" s="651">
        <v>0.8579</v>
      </c>
      <c r="F221" s="651">
        <v>1.51</v>
      </c>
      <c r="G221" s="651">
        <v>16.520000000000003</v>
      </c>
      <c r="H221" s="651">
        <v>31.69</v>
      </c>
      <c r="I221" s="651">
        <v>0.82050000000000001</v>
      </c>
      <c r="J221" s="651">
        <v>4.08</v>
      </c>
      <c r="K221" s="651">
        <v>1.2906521739130437</v>
      </c>
      <c r="L221" s="651">
        <v>1.7287869565217395</v>
      </c>
      <c r="M221" s="651">
        <v>0.8577999999999999</v>
      </c>
      <c r="N221" s="651">
        <v>1.5116652173913039</v>
      </c>
      <c r="O221" s="651">
        <v>16.588695652173911</v>
      </c>
      <c r="P221" s="651">
        <v>31.573913043478264</v>
      </c>
      <c r="Q221" s="651">
        <v>0.82755217391304359</v>
      </c>
      <c r="R221" s="651">
        <v>4.0926086956521734</v>
      </c>
    </row>
    <row r="222" spans="1:18" ht="15.75" customHeight="1">
      <c r="A222" s="238">
        <v>2026</v>
      </c>
      <c r="B222" s="272" t="s">
        <v>105</v>
      </c>
      <c r="C222" s="639">
        <v>1.2703</v>
      </c>
      <c r="D222" s="639">
        <v>1.7402</v>
      </c>
      <c r="E222" s="639">
        <v>0.88480000000000003</v>
      </c>
      <c r="F222" s="639">
        <v>1.5067999999999999</v>
      </c>
      <c r="G222" s="639">
        <v>16.259999999999998</v>
      </c>
      <c r="H222" s="639">
        <v>32.1</v>
      </c>
      <c r="I222" s="639">
        <v>0.82089999999999996</v>
      </c>
      <c r="J222" s="639">
        <v>4.03</v>
      </c>
      <c r="K222" s="639">
        <v>1.279957142857143</v>
      </c>
      <c r="L222" s="639">
        <v>1.7318809523809524</v>
      </c>
      <c r="M222" s="639">
        <v>0.86930952380952387</v>
      </c>
      <c r="N222" s="639">
        <v>1.5026238095238096</v>
      </c>
      <c r="O222" s="639">
        <v>16.418095238095237</v>
      </c>
      <c r="P222" s="639">
        <v>31.790000000000006</v>
      </c>
      <c r="Q222" s="639">
        <v>0.81694761904761914</v>
      </c>
      <c r="R222" s="639">
        <v>4.0933333333333346</v>
      </c>
    </row>
    <row r="223" spans="1:18" ht="15.75" customHeight="1">
      <c r="A223" s="239"/>
      <c r="B223" s="273" t="s">
        <v>106</v>
      </c>
      <c r="C223" s="645">
        <v>1.2650999999999999</v>
      </c>
      <c r="D223" s="645">
        <v>1.7056</v>
      </c>
      <c r="E223" s="645">
        <v>0.9</v>
      </c>
      <c r="F223" s="645">
        <v>1.494</v>
      </c>
      <c r="G223" s="645">
        <v>16.170000000000002</v>
      </c>
      <c r="H223" s="645">
        <v>32.1</v>
      </c>
      <c r="I223" s="645">
        <v>0.8105</v>
      </c>
      <c r="J223" s="645">
        <v>4.08</v>
      </c>
      <c r="K223" s="645">
        <v>1.2667000000000002</v>
      </c>
      <c r="L223" s="645">
        <v>1.7198250000000002</v>
      </c>
      <c r="M223" s="645">
        <v>0.89407499999999995</v>
      </c>
      <c r="N223" s="645">
        <v>1.4975249999999998</v>
      </c>
      <c r="O223" s="645">
        <v>16.206</v>
      </c>
      <c r="P223" s="645">
        <v>31.793000000000006</v>
      </c>
      <c r="Q223" s="645">
        <v>0.81667500000000004</v>
      </c>
      <c r="R223" s="645">
        <v>4.0554999999999994</v>
      </c>
    </row>
    <row r="224" spans="1:18" ht="15.75" customHeight="1">
      <c r="A224" s="239"/>
      <c r="B224" s="273" t="s">
        <v>107</v>
      </c>
      <c r="C224" s="645">
        <v>1.2867999999999999</v>
      </c>
      <c r="D224" s="645">
        <v>1.7020999999999999</v>
      </c>
      <c r="E224" s="645">
        <v>0.88780000000000003</v>
      </c>
      <c r="F224" s="645">
        <v>1.488</v>
      </c>
      <c r="G224" s="645">
        <v>16.420000000000002</v>
      </c>
      <c r="H224" s="645">
        <v>32.1</v>
      </c>
      <c r="I224" s="645">
        <v>0.81069999999999998</v>
      </c>
      <c r="J224" s="645">
        <v>3.94</v>
      </c>
      <c r="K224" s="645">
        <v>1.2795954545454544</v>
      </c>
      <c r="L224" s="645">
        <v>1.708109090909091</v>
      </c>
      <c r="M224" s="645">
        <v>0.89820909090909096</v>
      </c>
      <c r="N224" s="645">
        <v>1.4795090909090909</v>
      </c>
      <c r="O224" s="645">
        <v>16.350909090909095</v>
      </c>
      <c r="P224" s="645">
        <v>31.793000000000006</v>
      </c>
      <c r="Q224" s="645">
        <v>0.80636363636363628</v>
      </c>
      <c r="R224" s="645">
        <v>3.9713636363636362</v>
      </c>
    </row>
    <row r="225" spans="1:18" ht="15.75" customHeight="1">
      <c r="A225" s="239"/>
      <c r="B225" s="273" t="s">
        <v>108</v>
      </c>
      <c r="C225" s="645">
        <v>1.2732000000000001</v>
      </c>
      <c r="D225" s="645">
        <v>1.7319</v>
      </c>
      <c r="E225" s="645">
        <v>0.91690000000000005</v>
      </c>
      <c r="F225" s="645">
        <v>1.4928999999999999</v>
      </c>
      <c r="G225" s="645">
        <v>16.259999999999998</v>
      </c>
      <c r="H225" s="645">
        <v>32.1</v>
      </c>
      <c r="I225" s="645">
        <v>0.81279999999999997</v>
      </c>
      <c r="J225" s="645">
        <v>3.92</v>
      </c>
      <c r="K225" s="645">
        <v>1.2764500000000001</v>
      </c>
      <c r="L225" s="645">
        <v>1.7169545454545458</v>
      </c>
      <c r="M225" s="645">
        <v>0.90506818181818183</v>
      </c>
      <c r="N225" s="645">
        <v>1.4918499999999997</v>
      </c>
      <c r="O225" s="645">
        <v>16.294545454545457</v>
      </c>
      <c r="P225" s="645">
        <v>31.793000000000006</v>
      </c>
      <c r="Q225" s="645">
        <v>0.80188181818181836</v>
      </c>
      <c r="R225" s="645">
        <v>3.9540909090909087</v>
      </c>
    </row>
    <row r="226" spans="1:18" ht="15.75" customHeight="1">
      <c r="A226" s="240"/>
      <c r="B226" s="274" t="s">
        <v>109</v>
      </c>
      <c r="C226" s="651">
        <v>1.2766</v>
      </c>
      <c r="D226" s="651">
        <v>1.7178</v>
      </c>
      <c r="E226" s="651">
        <v>0.91700000000000004</v>
      </c>
      <c r="F226" s="651">
        <v>1.4883999999999999</v>
      </c>
      <c r="G226" s="651">
        <v>16.29</v>
      </c>
      <c r="H226" s="651">
        <v>32.1</v>
      </c>
      <c r="I226" s="651">
        <v>0.80149999999999999</v>
      </c>
      <c r="J226" s="651">
        <v>3.93</v>
      </c>
      <c r="K226" s="651">
        <v>1.2752619047619049</v>
      </c>
      <c r="L226" s="651">
        <v>1.7199714285714283</v>
      </c>
      <c r="M226" s="651">
        <v>0.91633333333333344</v>
      </c>
      <c r="N226" s="651">
        <v>1.4885523809523811</v>
      </c>
      <c r="O226" s="651">
        <v>16.282857142857143</v>
      </c>
      <c r="P226" s="651">
        <v>31.793000000000006</v>
      </c>
      <c r="Q226" s="651">
        <v>0.8058523809523811</v>
      </c>
      <c r="R226" s="651">
        <v>3.9266666666666672</v>
      </c>
    </row>
    <row r="227" spans="1:18" ht="15.75" customHeight="1">
      <c r="A227" s="67"/>
      <c r="B227" s="67"/>
      <c r="C227" s="215"/>
      <c r="D227" s="215"/>
      <c r="E227" s="215"/>
      <c r="F227" s="215"/>
      <c r="G227" s="216"/>
      <c r="H227" s="215"/>
      <c r="I227" s="215"/>
      <c r="J227" s="215"/>
      <c r="K227" s="215"/>
      <c r="L227" s="215"/>
      <c r="M227" s="215"/>
      <c r="N227" s="215"/>
      <c r="O227" s="216"/>
      <c r="P227" s="216"/>
      <c r="Q227" s="215"/>
      <c r="R227" s="215"/>
    </row>
    <row r="228" spans="1:18">
      <c r="A228" s="843" t="s">
        <v>398</v>
      </c>
      <c r="B228" s="843"/>
      <c r="C228" s="843"/>
      <c r="D228" s="843"/>
      <c r="E228" s="843"/>
      <c r="G228" s="74"/>
      <c r="H228" s="74"/>
      <c r="K228" s="74"/>
      <c r="L228" s="74"/>
      <c r="M228" s="74"/>
      <c r="N228" s="74"/>
      <c r="O228" s="74"/>
      <c r="P228" s="74"/>
      <c r="Q228" s="74"/>
      <c r="R228" s="74"/>
    </row>
    <row r="229" spans="1:18">
      <c r="A229" s="217" t="s">
        <v>168</v>
      </c>
      <c r="B229" s="106"/>
      <c r="C229" s="106"/>
      <c r="D229" s="106"/>
      <c r="E229" s="106"/>
    </row>
  </sheetData>
  <sheetProtection sheet="1" formatCells="0" insertColumns="0" insertRows="0" deleteColumns="0" deleteRows="0"/>
  <mergeCells count="9">
    <mergeCell ref="A1:J1"/>
    <mergeCell ref="A228:E228"/>
    <mergeCell ref="K3:N3"/>
    <mergeCell ref="O3:R3"/>
    <mergeCell ref="K5:R5"/>
    <mergeCell ref="A3:B5"/>
    <mergeCell ref="C3:F3"/>
    <mergeCell ref="C5:J5"/>
    <mergeCell ref="G3:J3"/>
  </mergeCells>
  <printOptions horizontalCentered="1"/>
  <pageMargins left="0.43" right="0.31"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CQ17"/>
  <sheetViews>
    <sheetView tabSelected="1" zoomScaleNormal="100" workbookViewId="0">
      <pane xSplit="1" ySplit="3" topLeftCell="CI4" activePane="bottomRight" state="frozen"/>
      <selection pane="topRight" activeCell="B1" sqref="B1"/>
      <selection pane="bottomLeft" activeCell="A4" sqref="A4"/>
      <selection pane="bottomRight" activeCell="CK11" sqref="CK11"/>
    </sheetView>
  </sheetViews>
  <sheetFormatPr defaultColWidth="9.1796875" defaultRowHeight="13"/>
  <cols>
    <col min="1" max="1" width="46.90625" style="65" customWidth="1"/>
    <col min="2" max="67" width="11.54296875" style="65" customWidth="1"/>
    <col min="68" max="68" width="11.81640625" style="65" customWidth="1"/>
    <col min="69" max="69" width="12.453125" style="65" customWidth="1"/>
    <col min="70" max="70" width="12.1796875" style="65" customWidth="1"/>
    <col min="71" max="71" width="12.453125" style="65" customWidth="1"/>
    <col min="72" max="72" width="12.1796875" style="65" customWidth="1"/>
    <col min="73" max="80" width="12.54296875" style="65" customWidth="1"/>
    <col min="81" max="83" width="12" style="65" customWidth="1"/>
    <col min="84" max="85" width="11.81640625" style="65" customWidth="1"/>
    <col min="86" max="86" width="12.36328125" style="65" customWidth="1"/>
    <col min="87" max="87" width="12.54296875" style="65" customWidth="1"/>
    <col min="88" max="89" width="12.36328125" style="65" customWidth="1"/>
    <col min="90" max="90" width="11.81640625" style="65" customWidth="1"/>
    <col min="91" max="91" width="11.90625" style="65" customWidth="1"/>
    <col min="92" max="92" width="11.54296875" style="65" customWidth="1"/>
    <col min="93" max="93" width="12.36328125" style="65" customWidth="1"/>
    <col min="94" max="94" width="12.6328125" style="65" customWidth="1"/>
    <col min="95" max="95" width="12.453125" style="65" customWidth="1"/>
    <col min="96" max="16384" width="9.1796875" style="65"/>
  </cols>
  <sheetData>
    <row r="1" spans="1:95" ht="26.15" customHeight="1">
      <c r="A1" s="845" t="s">
        <v>399</v>
      </c>
      <c r="B1" s="845"/>
      <c r="C1" s="845"/>
      <c r="D1" s="845"/>
      <c r="E1" s="845"/>
      <c r="F1" s="845"/>
      <c r="G1" s="845"/>
      <c r="H1" s="845"/>
      <c r="I1" s="845"/>
      <c r="J1" s="845"/>
      <c r="K1" s="845"/>
      <c r="L1" s="845"/>
      <c r="M1" s="845"/>
      <c r="N1" s="845"/>
      <c r="O1" s="845"/>
      <c r="P1" s="845"/>
      <c r="Q1" s="845"/>
      <c r="R1" s="845"/>
      <c r="S1" s="845"/>
      <c r="T1" s="845"/>
      <c r="U1" s="845"/>
      <c r="V1" s="845"/>
      <c r="W1" s="845"/>
      <c r="X1" s="845"/>
      <c r="Y1" s="845"/>
      <c r="Z1" s="845"/>
      <c r="AA1" s="845"/>
      <c r="AB1" s="845"/>
      <c r="AC1" s="845"/>
      <c r="AD1" s="845"/>
      <c r="AE1" s="845"/>
      <c r="AF1" s="845"/>
      <c r="AG1" s="845"/>
      <c r="AH1" s="845"/>
      <c r="AI1" s="845"/>
      <c r="AJ1" s="845"/>
      <c r="AK1" s="845"/>
      <c r="AL1" s="845"/>
      <c r="AM1" s="845"/>
      <c r="AN1" s="845"/>
      <c r="AO1" s="845"/>
      <c r="AP1" s="845"/>
      <c r="AQ1" s="845"/>
      <c r="AR1" s="845"/>
      <c r="AS1" s="845"/>
      <c r="AT1" s="845"/>
      <c r="AU1" s="845"/>
      <c r="AV1" s="845"/>
      <c r="AW1" s="845"/>
      <c r="AX1" s="845"/>
      <c r="AY1" s="845"/>
      <c r="AZ1" s="845"/>
      <c r="BA1" s="845"/>
      <c r="BB1" s="845"/>
      <c r="BC1" s="845"/>
      <c r="BD1" s="845"/>
      <c r="BE1" s="845"/>
      <c r="BF1" s="845"/>
      <c r="BG1" s="845"/>
      <c r="BH1" s="845"/>
      <c r="BI1" s="845"/>
      <c r="BJ1" s="845"/>
      <c r="BK1" s="845"/>
      <c r="BL1" s="845"/>
      <c r="BM1" s="845"/>
      <c r="BN1" s="845"/>
      <c r="BO1" s="845"/>
      <c r="BP1" s="845"/>
      <c r="BQ1" s="845"/>
      <c r="BR1" s="845"/>
      <c r="BS1" s="845"/>
      <c r="BT1" s="845"/>
      <c r="BU1" s="845"/>
      <c r="BV1" s="845"/>
      <c r="BW1" s="845"/>
      <c r="BX1" s="845"/>
      <c r="BY1" s="845"/>
      <c r="BZ1" s="845"/>
      <c r="CA1" s="845"/>
      <c r="CB1" s="845"/>
      <c r="CC1" s="845"/>
      <c r="CD1" s="845"/>
      <c r="CE1" s="845"/>
      <c r="CF1" s="845"/>
      <c r="CG1" s="845"/>
      <c r="CH1" s="845"/>
      <c r="CI1" s="845"/>
      <c r="CJ1" s="845"/>
      <c r="CK1" s="845"/>
    </row>
    <row r="2" spans="1:95">
      <c r="V2" s="193"/>
    </row>
    <row r="3" spans="1:95" s="663" customFormat="1" ht="23.25" customHeight="1">
      <c r="A3" s="286" t="s">
        <v>400</v>
      </c>
      <c r="B3" s="664">
        <v>43363</v>
      </c>
      <c r="C3" s="664">
        <v>43391</v>
      </c>
      <c r="D3" s="664">
        <v>43419</v>
      </c>
      <c r="E3" s="664">
        <v>43454</v>
      </c>
      <c r="F3" s="664">
        <v>43482</v>
      </c>
      <c r="G3" s="664">
        <v>43517</v>
      </c>
      <c r="H3" s="664">
        <v>43545</v>
      </c>
      <c r="I3" s="664">
        <v>43573</v>
      </c>
      <c r="J3" s="664">
        <v>43601</v>
      </c>
      <c r="K3" s="664">
        <v>43636</v>
      </c>
      <c r="L3" s="664">
        <v>43664</v>
      </c>
      <c r="M3" s="664">
        <v>43692</v>
      </c>
      <c r="N3" s="664">
        <v>43727</v>
      </c>
      <c r="O3" s="664">
        <v>43755</v>
      </c>
      <c r="P3" s="664">
        <v>43790</v>
      </c>
      <c r="Q3" s="664">
        <v>43818</v>
      </c>
      <c r="R3" s="664">
        <v>43846</v>
      </c>
      <c r="S3" s="664">
        <v>43881</v>
      </c>
      <c r="T3" s="664">
        <v>43901</v>
      </c>
      <c r="U3" s="664">
        <v>43937</v>
      </c>
      <c r="V3" s="664">
        <v>43972</v>
      </c>
      <c r="W3" s="664">
        <v>44000</v>
      </c>
      <c r="X3" s="664">
        <v>44028</v>
      </c>
      <c r="Y3" s="664">
        <v>44063</v>
      </c>
      <c r="Z3" s="664">
        <v>44091</v>
      </c>
      <c r="AA3" s="664">
        <v>44119</v>
      </c>
      <c r="AB3" s="664">
        <v>44154</v>
      </c>
      <c r="AC3" s="665">
        <v>44182</v>
      </c>
      <c r="AD3" s="665">
        <v>44217</v>
      </c>
      <c r="AE3" s="665">
        <v>44245</v>
      </c>
      <c r="AF3" s="665">
        <v>44273</v>
      </c>
      <c r="AG3" s="665">
        <v>44301</v>
      </c>
      <c r="AH3" s="665">
        <v>44336</v>
      </c>
      <c r="AI3" s="665">
        <v>44364</v>
      </c>
      <c r="AJ3" s="665">
        <v>44392</v>
      </c>
      <c r="AK3" s="665">
        <v>44427</v>
      </c>
      <c r="AL3" s="665">
        <v>44455</v>
      </c>
      <c r="AM3" s="665">
        <v>44490</v>
      </c>
      <c r="AN3" s="665">
        <v>44518</v>
      </c>
      <c r="AO3" s="665">
        <v>44546</v>
      </c>
      <c r="AP3" s="665">
        <v>44581</v>
      </c>
      <c r="AQ3" s="665">
        <v>44609</v>
      </c>
      <c r="AR3" s="665">
        <v>44637</v>
      </c>
      <c r="AS3" s="665">
        <v>44672</v>
      </c>
      <c r="AT3" s="665">
        <v>44700</v>
      </c>
      <c r="AU3" s="665">
        <v>44728</v>
      </c>
      <c r="AV3" s="665">
        <v>44763</v>
      </c>
      <c r="AW3" s="665">
        <v>44791</v>
      </c>
      <c r="AX3" s="665">
        <v>44819</v>
      </c>
      <c r="AY3" s="665">
        <v>44854</v>
      </c>
      <c r="AZ3" s="665">
        <v>44882</v>
      </c>
      <c r="BA3" s="665">
        <v>44910</v>
      </c>
      <c r="BB3" s="665">
        <v>44945</v>
      </c>
      <c r="BC3" s="665">
        <v>44973</v>
      </c>
      <c r="BD3" s="665">
        <v>45001</v>
      </c>
      <c r="BE3" s="665">
        <v>45036</v>
      </c>
      <c r="BF3" s="665">
        <v>45064</v>
      </c>
      <c r="BG3" s="665">
        <v>45092</v>
      </c>
      <c r="BH3" s="665">
        <v>45127</v>
      </c>
      <c r="BI3" s="665">
        <v>45155</v>
      </c>
      <c r="BJ3" s="665">
        <v>45190</v>
      </c>
      <c r="BK3" s="665">
        <v>45218</v>
      </c>
      <c r="BL3" s="665">
        <v>45246</v>
      </c>
      <c r="BM3" s="665">
        <v>45281</v>
      </c>
      <c r="BN3" s="665">
        <v>45309</v>
      </c>
      <c r="BO3" s="665">
        <v>45309</v>
      </c>
      <c r="BP3" s="665">
        <v>45337</v>
      </c>
      <c r="BQ3" s="665">
        <v>45372</v>
      </c>
      <c r="BR3" s="665">
        <v>45400</v>
      </c>
      <c r="BS3" s="666">
        <v>45428</v>
      </c>
      <c r="BT3" s="666">
        <v>45463</v>
      </c>
      <c r="BU3" s="666">
        <v>45491</v>
      </c>
      <c r="BV3" s="665">
        <v>45519</v>
      </c>
      <c r="BW3" s="665">
        <v>45554</v>
      </c>
      <c r="BX3" s="665">
        <v>45582</v>
      </c>
      <c r="BY3" s="665">
        <v>45617</v>
      </c>
      <c r="BZ3" s="665">
        <v>45645</v>
      </c>
      <c r="CA3" s="665">
        <v>45673</v>
      </c>
      <c r="CB3" s="665">
        <v>45708</v>
      </c>
      <c r="CC3" s="665">
        <v>45736</v>
      </c>
      <c r="CD3" s="665">
        <v>45764</v>
      </c>
      <c r="CE3" s="665">
        <v>45792</v>
      </c>
      <c r="CF3" s="665">
        <v>45827</v>
      </c>
      <c r="CG3" s="665">
        <v>45855</v>
      </c>
      <c r="CH3" s="665">
        <v>45890</v>
      </c>
      <c r="CI3" s="665">
        <v>45918</v>
      </c>
      <c r="CJ3" s="665">
        <v>45946</v>
      </c>
      <c r="CK3" s="665">
        <v>45981</v>
      </c>
      <c r="CL3" s="665">
        <v>46009</v>
      </c>
      <c r="CM3" s="665">
        <v>46037</v>
      </c>
      <c r="CN3" s="665">
        <v>46072</v>
      </c>
      <c r="CO3" s="665">
        <v>46100</v>
      </c>
      <c r="CP3" s="665">
        <v>46128</v>
      </c>
      <c r="CQ3" s="665">
        <v>46163</v>
      </c>
    </row>
    <row r="4" spans="1:95" s="105" customFormat="1" ht="14">
      <c r="A4" s="603"/>
      <c r="B4" s="667"/>
      <c r="C4" s="667"/>
      <c r="D4" s="667"/>
      <c r="E4" s="667"/>
      <c r="F4" s="667"/>
      <c r="G4" s="667"/>
      <c r="H4" s="667"/>
      <c r="I4" s="667"/>
      <c r="J4" s="667"/>
      <c r="K4" s="667"/>
      <c r="L4" s="667"/>
      <c r="M4" s="667"/>
      <c r="N4" s="668"/>
      <c r="O4" s="668"/>
      <c r="P4" s="668"/>
      <c r="Q4" s="668"/>
      <c r="R4" s="668"/>
      <c r="S4" s="668"/>
      <c r="T4" s="667"/>
      <c r="U4" s="668"/>
      <c r="V4" s="668"/>
      <c r="W4" s="668"/>
      <c r="X4" s="668"/>
      <c r="Y4" s="667"/>
      <c r="Z4" s="667"/>
      <c r="AA4" s="668"/>
      <c r="AB4" s="668"/>
      <c r="AC4" s="668"/>
      <c r="AD4" s="668"/>
      <c r="AE4" s="668"/>
      <c r="AF4" s="668"/>
      <c r="AG4" s="668"/>
      <c r="AH4" s="668"/>
      <c r="AI4" s="668"/>
      <c r="AJ4" s="668"/>
      <c r="AK4" s="668"/>
      <c r="AL4" s="668"/>
      <c r="AM4" s="668"/>
      <c r="AN4" s="668"/>
      <c r="AO4" s="668"/>
      <c r="AP4" s="668"/>
      <c r="AQ4" s="668"/>
      <c r="AR4" s="668"/>
      <c r="AS4" s="668"/>
      <c r="AT4" s="668"/>
      <c r="AU4" s="668"/>
      <c r="AV4" s="668"/>
      <c r="AW4" s="668"/>
      <c r="AX4" s="668"/>
      <c r="AY4" s="668"/>
      <c r="AZ4" s="668"/>
      <c r="BA4" s="668"/>
      <c r="BB4" s="668"/>
      <c r="BC4" s="668"/>
      <c r="BD4" s="668"/>
      <c r="BE4" s="668"/>
      <c r="BF4" s="668"/>
      <c r="BG4" s="668"/>
      <c r="BH4" s="668"/>
      <c r="BI4" s="668"/>
      <c r="BJ4" s="668"/>
      <c r="BK4" s="668"/>
      <c r="BL4" s="668"/>
      <c r="BM4" s="668"/>
      <c r="BN4" s="668"/>
      <c r="BO4" s="668"/>
      <c r="BP4" s="668"/>
      <c r="BQ4" s="668"/>
      <c r="BR4" s="668"/>
      <c r="BS4" s="669"/>
      <c r="BT4" s="669"/>
      <c r="BU4" s="669"/>
      <c r="BV4" s="668"/>
      <c r="BW4" s="668"/>
      <c r="BX4" s="668"/>
      <c r="BY4" s="668"/>
      <c r="BZ4" s="668"/>
      <c r="CA4" s="668"/>
      <c r="CB4" s="668"/>
      <c r="CC4" s="668"/>
      <c r="CD4" s="668"/>
      <c r="CE4" s="668"/>
      <c r="CF4" s="668"/>
      <c r="CG4" s="668"/>
      <c r="CH4" s="668"/>
      <c r="CI4" s="668"/>
      <c r="CJ4" s="668"/>
      <c r="CK4" s="668"/>
      <c r="CL4" s="668"/>
      <c r="CM4" s="668"/>
      <c r="CN4" s="668"/>
      <c r="CO4" s="668"/>
      <c r="CP4" s="668"/>
      <c r="CQ4" s="668"/>
    </row>
    <row r="5" spans="1:95" s="105" customFormat="1" ht="14">
      <c r="A5" s="241" t="s">
        <v>401</v>
      </c>
      <c r="B5" s="304">
        <v>0.5</v>
      </c>
      <c r="C5" s="304">
        <v>0.5</v>
      </c>
      <c r="D5" s="304">
        <v>0.75</v>
      </c>
      <c r="E5" s="304">
        <v>0.75</v>
      </c>
      <c r="F5" s="304">
        <v>0.75</v>
      </c>
      <c r="G5" s="304">
        <v>0.75</v>
      </c>
      <c r="H5" s="304">
        <v>0.75</v>
      </c>
      <c r="I5" s="304">
        <v>0.75</v>
      </c>
      <c r="J5" s="304">
        <v>0.75</v>
      </c>
      <c r="K5" s="304">
        <v>0.75</v>
      </c>
      <c r="L5" s="304">
        <v>0.75</v>
      </c>
      <c r="M5" s="304">
        <v>0.75</v>
      </c>
      <c r="N5" s="668">
        <v>0.75</v>
      </c>
      <c r="O5" s="668">
        <v>0.75</v>
      </c>
      <c r="P5" s="668">
        <v>0.75</v>
      </c>
      <c r="Q5" s="668">
        <v>0.75</v>
      </c>
      <c r="R5" s="668">
        <v>0.75</v>
      </c>
      <c r="S5" s="668">
        <v>0.75</v>
      </c>
      <c r="T5" s="668">
        <v>0.25</v>
      </c>
      <c r="U5" s="668">
        <v>0.25</v>
      </c>
      <c r="V5" s="668">
        <v>0.125</v>
      </c>
      <c r="W5" s="668">
        <v>0.125</v>
      </c>
      <c r="X5" s="304">
        <v>0</v>
      </c>
      <c r="Y5" s="304">
        <v>0</v>
      </c>
      <c r="Z5" s="304">
        <v>0</v>
      </c>
      <c r="AA5" s="304">
        <v>0</v>
      </c>
      <c r="AB5" s="304">
        <v>0</v>
      </c>
      <c r="AC5" s="304">
        <v>0</v>
      </c>
      <c r="AD5" s="304">
        <v>0</v>
      </c>
      <c r="AE5" s="304">
        <v>0</v>
      </c>
      <c r="AF5" s="304">
        <v>0</v>
      </c>
      <c r="AG5" s="304">
        <v>0</v>
      </c>
      <c r="AH5" s="304">
        <v>0</v>
      </c>
      <c r="AI5" s="304">
        <v>0</v>
      </c>
      <c r="AJ5" s="304">
        <v>0</v>
      </c>
      <c r="AK5" s="304">
        <v>0</v>
      </c>
      <c r="AL5" s="304">
        <v>0</v>
      </c>
      <c r="AM5" s="304">
        <v>0</v>
      </c>
      <c r="AN5" s="304">
        <v>0</v>
      </c>
      <c r="AO5" s="304">
        <v>0</v>
      </c>
      <c r="AP5" s="304">
        <v>0</v>
      </c>
      <c r="AQ5" s="304">
        <v>0</v>
      </c>
      <c r="AR5" s="304">
        <v>0</v>
      </c>
      <c r="AS5" s="304">
        <v>0.125</v>
      </c>
      <c r="AT5" s="304">
        <v>0.125</v>
      </c>
      <c r="AU5" s="304">
        <v>0.25</v>
      </c>
      <c r="AV5" s="304">
        <v>0.75</v>
      </c>
      <c r="AW5" s="304">
        <v>0.75</v>
      </c>
      <c r="AX5" s="304">
        <v>1.5</v>
      </c>
      <c r="AY5" s="304">
        <v>1.5</v>
      </c>
      <c r="AZ5" s="304">
        <v>1.5</v>
      </c>
      <c r="BA5" s="304">
        <v>1.5</v>
      </c>
      <c r="BB5" s="304">
        <v>1.5</v>
      </c>
      <c r="BC5" s="304">
        <v>1.5</v>
      </c>
      <c r="BD5" s="304">
        <v>1.5</v>
      </c>
      <c r="BE5" s="304">
        <v>1.5</v>
      </c>
      <c r="BF5" s="304">
        <v>1.5</v>
      </c>
      <c r="BG5" s="304">
        <v>1.5</v>
      </c>
      <c r="BH5" s="304">
        <v>1.5</v>
      </c>
      <c r="BI5" s="304">
        <v>1.5</v>
      </c>
      <c r="BJ5" s="304">
        <v>1.5</v>
      </c>
      <c r="BK5" s="304">
        <v>1.5</v>
      </c>
      <c r="BL5" s="304">
        <v>1.5</v>
      </c>
      <c r="BM5" s="304">
        <v>1.5</v>
      </c>
      <c r="BN5" s="304">
        <v>1.5</v>
      </c>
      <c r="BO5" s="304">
        <v>1.5</v>
      </c>
      <c r="BP5" s="304">
        <v>1.5</v>
      </c>
      <c r="BQ5" s="304">
        <v>1.5</v>
      </c>
      <c r="BR5" s="304">
        <v>2</v>
      </c>
      <c r="BS5" s="292">
        <v>2.5</v>
      </c>
      <c r="BT5" s="292">
        <v>3</v>
      </c>
      <c r="BU5" s="292">
        <v>3</v>
      </c>
      <c r="BV5" s="304">
        <v>3</v>
      </c>
      <c r="BW5" s="304">
        <v>2.75</v>
      </c>
      <c r="BX5" s="304">
        <v>2.75</v>
      </c>
      <c r="BY5" s="304">
        <v>2.5</v>
      </c>
      <c r="BZ5" s="304">
        <v>2.25</v>
      </c>
      <c r="CA5" s="304">
        <v>2.25</v>
      </c>
      <c r="CB5" s="304">
        <v>2.25</v>
      </c>
      <c r="CC5" s="304">
        <v>2.25</v>
      </c>
      <c r="CD5" s="304">
        <v>2</v>
      </c>
      <c r="CE5" s="304">
        <v>2</v>
      </c>
      <c r="CF5" s="304">
        <v>1.5</v>
      </c>
      <c r="CG5" s="304">
        <v>1</v>
      </c>
      <c r="CH5" s="304">
        <v>1</v>
      </c>
      <c r="CI5" s="304">
        <v>0.75</v>
      </c>
      <c r="CJ5" s="304">
        <v>0.75</v>
      </c>
      <c r="CK5" s="304">
        <v>0.5</v>
      </c>
      <c r="CL5" s="304">
        <v>0.5</v>
      </c>
      <c r="CM5" s="304">
        <v>0.5</v>
      </c>
      <c r="CN5" s="304">
        <v>0.5</v>
      </c>
      <c r="CO5" s="304">
        <v>0.5</v>
      </c>
      <c r="CP5" s="304">
        <v>0.5</v>
      </c>
      <c r="CQ5" s="304">
        <v>0.5</v>
      </c>
    </row>
    <row r="6" spans="1:95" s="105" customFormat="1" ht="14">
      <c r="A6" s="241"/>
      <c r="B6" s="304"/>
      <c r="C6" s="304"/>
      <c r="D6" s="304"/>
      <c r="E6" s="304"/>
      <c r="F6" s="304"/>
      <c r="G6" s="304"/>
      <c r="H6" s="304"/>
      <c r="I6" s="304"/>
      <c r="J6" s="304"/>
      <c r="K6" s="304"/>
      <c r="L6" s="304"/>
      <c r="M6" s="304"/>
      <c r="N6" s="668"/>
      <c r="O6" s="668"/>
      <c r="P6" s="668"/>
      <c r="Q6" s="668"/>
      <c r="R6" s="668"/>
      <c r="S6" s="668"/>
      <c r="T6" s="668"/>
      <c r="U6" s="668"/>
      <c r="V6" s="668"/>
      <c r="W6" s="668"/>
      <c r="X6" s="304"/>
      <c r="Y6" s="304"/>
      <c r="Z6" s="304"/>
      <c r="AA6" s="304"/>
      <c r="AB6" s="304"/>
      <c r="AC6" s="304"/>
      <c r="AD6" s="304"/>
      <c r="AE6" s="304"/>
      <c r="AF6" s="304"/>
      <c r="AG6" s="304"/>
      <c r="AH6" s="304"/>
      <c r="AI6" s="304"/>
      <c r="AJ6" s="304"/>
      <c r="AK6" s="304"/>
      <c r="AL6" s="304"/>
      <c r="AM6" s="304"/>
      <c r="AN6" s="304"/>
      <c r="AO6" s="304"/>
      <c r="AP6" s="304"/>
      <c r="AQ6" s="304"/>
      <c r="AR6" s="304"/>
      <c r="AS6" s="304"/>
      <c r="AT6" s="304"/>
      <c r="AU6" s="304"/>
      <c r="AV6" s="304"/>
      <c r="AW6" s="304"/>
      <c r="AX6" s="304"/>
      <c r="AY6" s="304"/>
      <c r="AZ6" s="304"/>
      <c r="BA6" s="304"/>
      <c r="BB6" s="304"/>
      <c r="BC6" s="304"/>
      <c r="BD6" s="304"/>
      <c r="BE6" s="304"/>
      <c r="BF6" s="304"/>
      <c r="BG6" s="304"/>
      <c r="BH6" s="304"/>
      <c r="BI6" s="304"/>
      <c r="BJ6" s="304"/>
      <c r="BK6" s="304"/>
      <c r="BL6" s="304"/>
      <c r="BM6" s="304"/>
      <c r="BN6" s="304"/>
      <c r="BO6" s="304"/>
      <c r="BP6" s="304"/>
      <c r="BQ6" s="304"/>
      <c r="BR6" s="304"/>
      <c r="BS6" s="669"/>
      <c r="BT6" s="669"/>
      <c r="BU6" s="669"/>
      <c r="BV6" s="304"/>
      <c r="BW6" s="304"/>
      <c r="BX6" s="304"/>
      <c r="BY6" s="304"/>
      <c r="BZ6" s="304"/>
      <c r="CA6" s="304"/>
      <c r="CB6" s="304"/>
      <c r="CC6" s="304"/>
      <c r="CD6" s="304"/>
      <c r="CE6" s="304"/>
      <c r="CF6" s="304"/>
      <c r="CG6" s="304"/>
      <c r="CH6" s="304"/>
      <c r="CI6" s="304"/>
      <c r="CJ6" s="304"/>
      <c r="CK6" s="304"/>
      <c r="CL6" s="304"/>
      <c r="CM6" s="304"/>
      <c r="CN6" s="304"/>
      <c r="CO6" s="304"/>
      <c r="CP6" s="304"/>
      <c r="CQ6" s="304"/>
    </row>
    <row r="7" spans="1:95" s="105" customFormat="1" ht="14">
      <c r="A7" s="241" t="s">
        <v>402</v>
      </c>
      <c r="B7" s="304">
        <v>1.5</v>
      </c>
      <c r="C7" s="304">
        <v>1.5</v>
      </c>
      <c r="D7" s="304">
        <v>1.75</v>
      </c>
      <c r="E7" s="304">
        <v>1.75</v>
      </c>
      <c r="F7" s="304">
        <v>1.75</v>
      </c>
      <c r="G7" s="304">
        <v>1.75</v>
      </c>
      <c r="H7" s="304">
        <v>1.75</v>
      </c>
      <c r="I7" s="304">
        <v>1.75</v>
      </c>
      <c r="J7" s="304">
        <v>1.75</v>
      </c>
      <c r="K7" s="304">
        <v>1.75</v>
      </c>
      <c r="L7" s="304">
        <v>1.75</v>
      </c>
      <c r="M7" s="304">
        <v>1.75</v>
      </c>
      <c r="N7" s="668">
        <v>1.75</v>
      </c>
      <c r="O7" s="668">
        <v>1.75</v>
      </c>
      <c r="P7" s="668">
        <v>1.75</v>
      </c>
      <c r="Q7" s="668">
        <v>1.75</v>
      </c>
      <c r="R7" s="668">
        <v>1.75</v>
      </c>
      <c r="S7" s="668">
        <v>1.75</v>
      </c>
      <c r="T7" s="668">
        <v>1.25</v>
      </c>
      <c r="U7" s="668">
        <v>1.25</v>
      </c>
      <c r="V7" s="668">
        <v>1.125</v>
      </c>
      <c r="W7" s="668">
        <v>1.125</v>
      </c>
      <c r="X7" s="304">
        <v>1</v>
      </c>
      <c r="Y7" s="304">
        <v>1</v>
      </c>
      <c r="Z7" s="304">
        <v>1</v>
      </c>
      <c r="AA7" s="304">
        <v>1</v>
      </c>
      <c r="AB7" s="304">
        <v>1</v>
      </c>
      <c r="AC7" s="304">
        <v>1</v>
      </c>
      <c r="AD7" s="304">
        <v>1</v>
      </c>
      <c r="AE7" s="304">
        <v>1</v>
      </c>
      <c r="AF7" s="304">
        <v>1</v>
      </c>
      <c r="AG7" s="304">
        <v>1</v>
      </c>
      <c r="AH7" s="304">
        <v>1</v>
      </c>
      <c r="AI7" s="304">
        <v>1</v>
      </c>
      <c r="AJ7" s="304">
        <v>1</v>
      </c>
      <c r="AK7" s="304">
        <v>1</v>
      </c>
      <c r="AL7" s="304">
        <v>1</v>
      </c>
      <c r="AM7" s="304">
        <v>1</v>
      </c>
      <c r="AN7" s="304">
        <v>1</v>
      </c>
      <c r="AO7" s="304">
        <v>1</v>
      </c>
      <c r="AP7" s="304">
        <v>1</v>
      </c>
      <c r="AQ7" s="304">
        <v>1</v>
      </c>
      <c r="AR7" s="304">
        <v>1</v>
      </c>
      <c r="AS7" s="304">
        <v>1.125</v>
      </c>
      <c r="AT7" s="304">
        <v>1.125</v>
      </c>
      <c r="AU7" s="304">
        <v>1.25</v>
      </c>
      <c r="AV7" s="304">
        <v>1.75</v>
      </c>
      <c r="AW7" s="304">
        <v>1.75</v>
      </c>
      <c r="AX7" s="304">
        <v>2.5</v>
      </c>
      <c r="AY7" s="304">
        <v>2.5</v>
      </c>
      <c r="AZ7" s="304">
        <v>2.5</v>
      </c>
      <c r="BA7" s="304">
        <v>3</v>
      </c>
      <c r="BB7" s="304">
        <v>3</v>
      </c>
      <c r="BC7" s="304">
        <v>3.5</v>
      </c>
      <c r="BD7" s="304">
        <v>4</v>
      </c>
      <c r="BE7" s="304">
        <v>4</v>
      </c>
      <c r="BF7" s="304">
        <v>4</v>
      </c>
      <c r="BG7" s="304">
        <v>4</v>
      </c>
      <c r="BH7" s="304">
        <v>4</v>
      </c>
      <c r="BI7" s="304">
        <v>4</v>
      </c>
      <c r="BJ7" s="304">
        <v>4</v>
      </c>
      <c r="BK7" s="304">
        <v>4</v>
      </c>
      <c r="BL7" s="304">
        <v>4</v>
      </c>
      <c r="BM7" s="304">
        <v>4</v>
      </c>
      <c r="BN7" s="304">
        <v>4</v>
      </c>
      <c r="BO7" s="304">
        <v>4</v>
      </c>
      <c r="BP7" s="304">
        <v>4</v>
      </c>
      <c r="BQ7" s="304">
        <v>4</v>
      </c>
      <c r="BR7" s="304">
        <v>4</v>
      </c>
      <c r="BS7" s="292">
        <v>4</v>
      </c>
      <c r="BT7" s="292">
        <v>4</v>
      </c>
      <c r="BU7" s="292">
        <v>4</v>
      </c>
      <c r="BV7" s="304">
        <v>4</v>
      </c>
      <c r="BW7" s="304">
        <v>3.75</v>
      </c>
      <c r="BX7" s="304">
        <v>3.75</v>
      </c>
      <c r="BY7" s="304">
        <v>3.5</v>
      </c>
      <c r="BZ7" s="304">
        <v>3.25</v>
      </c>
      <c r="CA7" s="304">
        <v>3.25</v>
      </c>
      <c r="CB7" s="304">
        <v>3.25</v>
      </c>
      <c r="CC7" s="304">
        <v>3.25</v>
      </c>
      <c r="CD7" s="304">
        <v>3</v>
      </c>
      <c r="CE7" s="304">
        <v>3</v>
      </c>
      <c r="CF7" s="304">
        <v>2.5</v>
      </c>
      <c r="CG7" s="304">
        <v>2</v>
      </c>
      <c r="CH7" s="304">
        <v>2</v>
      </c>
      <c r="CI7" s="304">
        <v>1.75</v>
      </c>
      <c r="CJ7" s="304">
        <v>1.75</v>
      </c>
      <c r="CK7" s="304">
        <v>1.5</v>
      </c>
      <c r="CL7" s="304">
        <v>1.5</v>
      </c>
      <c r="CM7" s="304">
        <v>1.5</v>
      </c>
      <c r="CN7" s="304">
        <v>1.5</v>
      </c>
      <c r="CO7" s="304">
        <v>1.5</v>
      </c>
      <c r="CP7" s="304">
        <v>1.5</v>
      </c>
      <c r="CQ7" s="304">
        <v>1.5</v>
      </c>
    </row>
    <row r="8" spans="1:95" s="105" customFormat="1" ht="14">
      <c r="A8" s="241"/>
      <c r="B8" s="304"/>
      <c r="C8" s="304"/>
      <c r="D8" s="304"/>
      <c r="E8" s="304"/>
      <c r="F8" s="304"/>
      <c r="G8" s="304"/>
      <c r="H8" s="304"/>
      <c r="I8" s="304"/>
      <c r="J8" s="304"/>
      <c r="K8" s="304"/>
      <c r="L8" s="304"/>
      <c r="M8" s="304"/>
      <c r="N8" s="668"/>
      <c r="O8" s="668"/>
      <c r="P8" s="668"/>
      <c r="Q8" s="668"/>
      <c r="R8" s="668"/>
      <c r="S8" s="668"/>
      <c r="T8" s="668"/>
      <c r="U8" s="668"/>
      <c r="V8" s="668"/>
      <c r="W8" s="668"/>
      <c r="X8" s="304"/>
      <c r="Y8" s="304"/>
      <c r="Z8" s="304"/>
      <c r="AA8" s="304"/>
      <c r="AB8" s="304"/>
      <c r="AC8" s="304"/>
      <c r="AD8" s="304"/>
      <c r="AE8" s="304"/>
      <c r="AF8" s="304"/>
      <c r="AG8" s="304"/>
      <c r="AH8" s="304"/>
      <c r="AI8" s="304"/>
      <c r="AJ8" s="304"/>
      <c r="AK8" s="304"/>
      <c r="AL8" s="304"/>
      <c r="AM8" s="304"/>
      <c r="AN8" s="304"/>
      <c r="AO8" s="304"/>
      <c r="AP8" s="304"/>
      <c r="AQ8" s="304"/>
      <c r="AR8" s="304"/>
      <c r="AS8" s="304"/>
      <c r="AT8" s="304"/>
      <c r="AU8" s="304"/>
      <c r="AV8" s="304"/>
      <c r="AW8" s="304"/>
      <c r="AX8" s="304"/>
      <c r="AY8" s="304"/>
      <c r="AZ8" s="304"/>
      <c r="BA8" s="304"/>
      <c r="BB8" s="304"/>
      <c r="BC8" s="304"/>
      <c r="BD8" s="304"/>
      <c r="BE8" s="304"/>
      <c r="BF8" s="304"/>
      <c r="BG8" s="304"/>
      <c r="BH8" s="304"/>
      <c r="BI8" s="304"/>
      <c r="BJ8" s="304"/>
      <c r="BK8" s="304"/>
      <c r="BL8" s="304"/>
      <c r="BM8" s="304"/>
      <c r="BN8" s="304"/>
      <c r="BO8" s="304"/>
      <c r="BP8" s="304"/>
      <c r="BQ8" s="304"/>
      <c r="BR8" s="304"/>
      <c r="BS8" s="292"/>
      <c r="BT8" s="292"/>
      <c r="BU8" s="292"/>
      <c r="BV8" s="304"/>
      <c r="BW8" s="304"/>
      <c r="BX8" s="304"/>
      <c r="BY8" s="304"/>
      <c r="BZ8" s="304"/>
      <c r="CA8" s="304"/>
      <c r="CB8" s="304"/>
      <c r="CC8" s="304"/>
      <c r="CD8" s="304"/>
      <c r="CE8" s="304"/>
      <c r="CF8" s="304"/>
      <c r="CG8" s="304"/>
      <c r="CH8" s="304"/>
      <c r="CI8" s="304"/>
      <c r="CJ8" s="304"/>
      <c r="CK8" s="304"/>
      <c r="CL8" s="304"/>
      <c r="CM8" s="304"/>
      <c r="CN8" s="304"/>
      <c r="CO8" s="304"/>
      <c r="CP8" s="304"/>
      <c r="CQ8" s="304"/>
    </row>
    <row r="9" spans="1:95" s="105" customFormat="1" ht="14">
      <c r="A9" s="242" t="s">
        <v>403</v>
      </c>
      <c r="B9" s="305">
        <v>1.5</v>
      </c>
      <c r="C9" s="305">
        <v>1.5</v>
      </c>
      <c r="D9" s="305">
        <v>1.75</v>
      </c>
      <c r="E9" s="305">
        <v>1.75</v>
      </c>
      <c r="F9" s="305">
        <v>1.75</v>
      </c>
      <c r="G9" s="305">
        <v>1.75</v>
      </c>
      <c r="H9" s="305">
        <v>1.75</v>
      </c>
      <c r="I9" s="305">
        <v>1.75</v>
      </c>
      <c r="J9" s="305">
        <v>1.75</v>
      </c>
      <c r="K9" s="305">
        <v>1.75</v>
      </c>
      <c r="L9" s="305">
        <v>1.75</v>
      </c>
      <c r="M9" s="305">
        <v>1.75</v>
      </c>
      <c r="N9" s="670">
        <v>1.75</v>
      </c>
      <c r="O9" s="670">
        <v>1.75</v>
      </c>
      <c r="P9" s="670">
        <v>1.75</v>
      </c>
      <c r="Q9" s="670">
        <v>1.75</v>
      </c>
      <c r="R9" s="670">
        <v>1.75</v>
      </c>
      <c r="S9" s="670">
        <v>1.75</v>
      </c>
      <c r="T9" s="670">
        <v>1.25</v>
      </c>
      <c r="U9" s="670">
        <v>1.25</v>
      </c>
      <c r="V9" s="670">
        <v>1.125</v>
      </c>
      <c r="W9" s="670">
        <v>1.125</v>
      </c>
      <c r="X9" s="305">
        <v>1</v>
      </c>
      <c r="Y9" s="305">
        <v>1</v>
      </c>
      <c r="Z9" s="305">
        <v>1</v>
      </c>
      <c r="AA9" s="305">
        <v>1</v>
      </c>
      <c r="AB9" s="305">
        <v>1</v>
      </c>
      <c r="AC9" s="305">
        <v>1</v>
      </c>
      <c r="AD9" s="305">
        <v>1</v>
      </c>
      <c r="AE9" s="305">
        <v>1</v>
      </c>
      <c r="AF9" s="305">
        <v>1</v>
      </c>
      <c r="AG9" s="305">
        <v>1</v>
      </c>
      <c r="AH9" s="305">
        <v>1</v>
      </c>
      <c r="AI9" s="305">
        <v>1</v>
      </c>
      <c r="AJ9" s="305">
        <v>1</v>
      </c>
      <c r="AK9" s="305">
        <v>1</v>
      </c>
      <c r="AL9" s="305">
        <v>1</v>
      </c>
      <c r="AM9" s="305">
        <v>1</v>
      </c>
      <c r="AN9" s="305">
        <v>1</v>
      </c>
      <c r="AO9" s="305">
        <v>1</v>
      </c>
      <c r="AP9" s="305">
        <v>1</v>
      </c>
      <c r="AQ9" s="305">
        <v>1</v>
      </c>
      <c r="AR9" s="305">
        <v>1</v>
      </c>
      <c r="AS9" s="305">
        <v>1.125</v>
      </c>
      <c r="AT9" s="305">
        <v>1.125</v>
      </c>
      <c r="AU9" s="305">
        <v>1.25</v>
      </c>
      <c r="AV9" s="305">
        <v>1.75</v>
      </c>
      <c r="AW9" s="305">
        <v>1.75</v>
      </c>
      <c r="AX9" s="305">
        <v>2.5</v>
      </c>
      <c r="AY9" s="305">
        <v>2.5</v>
      </c>
      <c r="AZ9" s="305">
        <v>2.5</v>
      </c>
      <c r="BA9" s="305">
        <v>3</v>
      </c>
      <c r="BB9" s="305">
        <v>3</v>
      </c>
      <c r="BC9" s="305">
        <v>3.5</v>
      </c>
      <c r="BD9" s="305">
        <v>4</v>
      </c>
      <c r="BE9" s="305">
        <v>4</v>
      </c>
      <c r="BF9" s="305">
        <v>4</v>
      </c>
      <c r="BG9" s="305">
        <v>4</v>
      </c>
      <c r="BH9" s="305">
        <v>4</v>
      </c>
      <c r="BI9" s="305">
        <v>4</v>
      </c>
      <c r="BJ9" s="305">
        <v>4</v>
      </c>
      <c r="BK9" s="305">
        <v>4</v>
      </c>
      <c r="BL9" s="305">
        <v>4</v>
      </c>
      <c r="BM9" s="305">
        <v>4</v>
      </c>
      <c r="BN9" s="305">
        <v>4</v>
      </c>
      <c r="BO9" s="305">
        <v>4</v>
      </c>
      <c r="BP9" s="305">
        <v>4</v>
      </c>
      <c r="BQ9" s="305">
        <v>4</v>
      </c>
      <c r="BR9" s="305">
        <v>4</v>
      </c>
      <c r="BS9" s="295">
        <v>4</v>
      </c>
      <c r="BT9" s="295">
        <v>4</v>
      </c>
      <c r="BU9" s="295">
        <v>4</v>
      </c>
      <c r="BV9" s="305">
        <v>4</v>
      </c>
      <c r="BW9" s="305">
        <v>3.75</v>
      </c>
      <c r="BX9" s="305">
        <v>3.75</v>
      </c>
      <c r="BY9" s="305">
        <v>3.5</v>
      </c>
      <c r="BZ9" s="305">
        <v>3.25</v>
      </c>
      <c r="CA9" s="305">
        <v>3.25</v>
      </c>
      <c r="CB9" s="305">
        <v>3.25</v>
      </c>
      <c r="CC9" s="305">
        <v>3.25</v>
      </c>
      <c r="CD9" s="305">
        <v>3</v>
      </c>
      <c r="CE9" s="305">
        <v>3</v>
      </c>
      <c r="CF9" s="305">
        <v>2.5</v>
      </c>
      <c r="CG9" s="305">
        <v>2</v>
      </c>
      <c r="CH9" s="305">
        <v>2</v>
      </c>
      <c r="CI9" s="305">
        <v>1.75</v>
      </c>
      <c r="CJ9" s="305">
        <v>1.75</v>
      </c>
      <c r="CK9" s="305">
        <v>1.5</v>
      </c>
      <c r="CL9" s="305">
        <v>1.5</v>
      </c>
      <c r="CM9" s="305">
        <v>1.5</v>
      </c>
      <c r="CN9" s="305">
        <v>1.5</v>
      </c>
      <c r="CO9" s="305">
        <v>1.5</v>
      </c>
      <c r="CP9" s="305">
        <v>1.5</v>
      </c>
      <c r="CQ9" s="305">
        <v>1.5</v>
      </c>
    </row>
    <row r="10" spans="1:95" ht="14">
      <c r="BV10" s="70"/>
      <c r="BY10" s="70"/>
    </row>
    <row r="11" spans="1:95" ht="14">
      <c r="A11" s="710" t="s">
        <v>118</v>
      </c>
      <c r="B11" s="710"/>
      <c r="C11" s="710"/>
      <c r="D11" s="710"/>
      <c r="E11" s="710"/>
      <c r="F11" s="710"/>
      <c r="G11" s="710"/>
      <c r="H11" s="710"/>
      <c r="I11" s="710"/>
      <c r="J11" s="710"/>
      <c r="K11" s="710"/>
      <c r="L11" s="710"/>
      <c r="M11" s="710"/>
      <c r="N11" s="710"/>
      <c r="O11" s="710"/>
      <c r="P11" s="710"/>
      <c r="Q11" s="710"/>
      <c r="R11" s="710"/>
      <c r="S11" s="710"/>
      <c r="T11" s="710"/>
      <c r="U11" s="710"/>
      <c r="V11" s="710"/>
      <c r="W11" s="710"/>
      <c r="X11" s="710"/>
      <c r="Y11" s="710"/>
      <c r="Z11" s="710"/>
      <c r="AA11" s="710"/>
      <c r="AB11" s="710"/>
      <c r="AC11" s="710"/>
      <c r="AD11" s="710"/>
      <c r="AE11" s="710"/>
      <c r="AF11" s="710"/>
      <c r="AG11" s="710"/>
      <c r="AH11" s="710"/>
      <c r="AI11" s="710"/>
      <c r="AJ11" s="710"/>
      <c r="AK11" s="710"/>
      <c r="AL11" s="710"/>
      <c r="AM11" s="710"/>
      <c r="AN11" s="710"/>
      <c r="AO11" s="710"/>
      <c r="AP11" s="710"/>
      <c r="AQ11" s="710"/>
      <c r="AR11" s="710"/>
      <c r="AS11" s="710"/>
      <c r="AT11" s="710"/>
      <c r="AU11" s="710"/>
      <c r="AV11" s="710"/>
      <c r="AW11" s="710"/>
      <c r="AX11" s="710"/>
      <c r="BV11" s="212"/>
      <c r="BW11" s="212"/>
      <c r="CA11" s="218"/>
    </row>
    <row r="12" spans="1:95" ht="14">
      <c r="CA12" s="218"/>
    </row>
    <row r="13" spans="1:95" ht="14">
      <c r="A13" s="209"/>
      <c r="CA13" s="218"/>
    </row>
    <row r="14" spans="1:95" ht="14">
      <c r="CA14" s="218"/>
    </row>
    <row r="15" spans="1:95" ht="14">
      <c r="CA15" s="218"/>
    </row>
    <row r="16" spans="1:95" ht="14">
      <c r="CA16" s="70"/>
    </row>
    <row r="17" spans="20:79" ht="14">
      <c r="T17" s="194"/>
      <c r="U17" s="194"/>
      <c r="V17" s="194"/>
      <c r="CA17" s="212"/>
    </row>
  </sheetData>
  <sheetProtection sheet="1" formatCells="0" insertColumns="0" insertRows="0" deleteColumns="0" deleteRows="0"/>
  <mergeCells count="2">
    <mergeCell ref="A11:AX11"/>
    <mergeCell ref="A1:CK1"/>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F28"/>
  <sheetViews>
    <sheetView workbookViewId="0">
      <pane xSplit="2" ySplit="5" topLeftCell="C9" activePane="bottomRight" state="frozen"/>
      <selection pane="topRight" activeCell="C1" sqref="C1"/>
      <selection pane="bottomLeft" activeCell="A6" sqref="A6"/>
      <selection pane="bottomRight" activeCell="C6" sqref="C6:C27"/>
    </sheetView>
  </sheetViews>
  <sheetFormatPr defaultColWidth="9.1796875" defaultRowHeight="12.5"/>
  <cols>
    <col min="1" max="2" width="6.81640625" style="6" customWidth="1"/>
    <col min="3" max="6" width="20.81640625" style="6" customWidth="1"/>
    <col min="7" max="16384" width="9.1796875" style="6"/>
  </cols>
  <sheetData>
    <row r="1" spans="1:6" s="4" customFormat="1" ht="14">
      <c r="A1" s="1" t="s">
        <v>404</v>
      </c>
    </row>
    <row r="3" spans="1:6">
      <c r="A3" s="846" t="s">
        <v>97</v>
      </c>
      <c r="B3" s="846"/>
      <c r="C3" s="744"/>
      <c r="D3" s="744"/>
      <c r="E3" s="744"/>
      <c r="F3" s="744"/>
    </row>
    <row r="4" spans="1:6" ht="15" customHeight="1">
      <c r="A4" s="841" t="s">
        <v>98</v>
      </c>
      <c r="B4" s="847"/>
      <c r="C4" s="848" t="s">
        <v>270</v>
      </c>
      <c r="D4" s="849"/>
      <c r="E4" s="849"/>
      <c r="F4" s="850"/>
    </row>
    <row r="5" spans="1:6" ht="15" customHeight="1">
      <c r="A5" s="841"/>
      <c r="B5" s="847"/>
      <c r="C5" s="57" t="s">
        <v>102</v>
      </c>
      <c r="D5" s="21" t="s">
        <v>405</v>
      </c>
      <c r="E5" s="56" t="s">
        <v>225</v>
      </c>
      <c r="F5" s="35" t="s">
        <v>204</v>
      </c>
    </row>
    <row r="6" spans="1:6">
      <c r="A6" s="219">
        <v>2011</v>
      </c>
      <c r="B6" s="232" t="s">
        <v>231</v>
      </c>
      <c r="C6" s="54">
        <v>1441.2453458100001</v>
      </c>
      <c r="D6" s="54">
        <v>1369</v>
      </c>
      <c r="E6" s="54">
        <v>71</v>
      </c>
      <c r="F6" s="54">
        <v>1</v>
      </c>
    </row>
    <row r="7" spans="1:6">
      <c r="A7" s="10"/>
      <c r="B7" s="33" t="s">
        <v>232</v>
      </c>
      <c r="C7" s="54">
        <v>1485.3960847199999</v>
      </c>
      <c r="D7" s="54">
        <v>1410</v>
      </c>
      <c r="E7" s="54">
        <v>74</v>
      </c>
      <c r="F7" s="54">
        <v>1</v>
      </c>
    </row>
    <row r="8" spans="1:6">
      <c r="A8" s="10"/>
      <c r="B8" s="33" t="s">
        <v>233</v>
      </c>
      <c r="C8" s="54">
        <v>1525.0637224000002</v>
      </c>
      <c r="D8" s="54">
        <v>1448</v>
      </c>
      <c r="E8" s="54">
        <v>76</v>
      </c>
      <c r="F8" s="54">
        <v>1</v>
      </c>
    </row>
    <row r="9" spans="1:6">
      <c r="A9" s="12"/>
      <c r="B9" s="34" t="s">
        <v>234</v>
      </c>
      <c r="C9" s="31">
        <v>1561.81942295</v>
      </c>
      <c r="D9" s="31">
        <v>1483</v>
      </c>
      <c r="E9" s="31">
        <v>78</v>
      </c>
      <c r="F9" s="31">
        <v>1</v>
      </c>
    </row>
    <row r="10" spans="1:6">
      <c r="A10" s="10">
        <v>2012</v>
      </c>
      <c r="B10" s="33" t="s">
        <v>231</v>
      </c>
      <c r="C10" s="54">
        <v>1613.2051173700002</v>
      </c>
      <c r="D10" s="54">
        <v>1532</v>
      </c>
      <c r="E10" s="54">
        <v>80</v>
      </c>
      <c r="F10" s="54">
        <v>1</v>
      </c>
    </row>
    <row r="11" spans="1:6">
      <c r="A11" s="10"/>
      <c r="B11" s="33" t="s">
        <v>232</v>
      </c>
      <c r="C11" s="54">
        <v>1655.59878918</v>
      </c>
      <c r="D11" s="54">
        <v>1577</v>
      </c>
      <c r="E11" s="54">
        <v>78</v>
      </c>
      <c r="F11" s="54">
        <v>1</v>
      </c>
    </row>
    <row r="12" spans="1:6">
      <c r="A12" s="10"/>
      <c r="B12" s="33" t="s">
        <v>233</v>
      </c>
      <c r="C12" s="54">
        <v>1691.9298306599999</v>
      </c>
      <c r="D12" s="54">
        <v>1615</v>
      </c>
      <c r="E12" s="54">
        <v>76</v>
      </c>
      <c r="F12" s="54">
        <v>1</v>
      </c>
    </row>
    <row r="13" spans="1:6">
      <c r="A13" s="10"/>
      <c r="B13" s="33" t="s">
        <v>234</v>
      </c>
      <c r="C13" s="54">
        <v>1700.5439530599999</v>
      </c>
      <c r="D13" s="54">
        <v>1627</v>
      </c>
      <c r="E13" s="54">
        <v>74</v>
      </c>
      <c r="F13" s="54">
        <v>1</v>
      </c>
    </row>
    <row r="14" spans="1:6">
      <c r="A14" s="219">
        <v>2013</v>
      </c>
      <c r="B14" s="220" t="s">
        <v>231</v>
      </c>
      <c r="C14" s="235">
        <v>1707.5972737</v>
      </c>
      <c r="D14" s="235">
        <v>1635</v>
      </c>
      <c r="E14" s="235">
        <v>72</v>
      </c>
      <c r="F14" s="235">
        <v>0</v>
      </c>
    </row>
    <row r="15" spans="1:6">
      <c r="A15" s="10"/>
      <c r="B15" s="11" t="s">
        <v>232</v>
      </c>
      <c r="C15" s="54">
        <v>1736.0149906700001</v>
      </c>
      <c r="D15" s="54">
        <v>1662</v>
      </c>
      <c r="E15" s="54">
        <v>74</v>
      </c>
      <c r="F15" s="54">
        <v>0</v>
      </c>
    </row>
    <row r="16" spans="1:6">
      <c r="A16" s="10"/>
      <c r="B16" s="11" t="s">
        <v>233</v>
      </c>
      <c r="C16" s="55">
        <v>1776.0347141700001</v>
      </c>
      <c r="D16" s="55">
        <v>1705</v>
      </c>
      <c r="E16" s="55">
        <v>71</v>
      </c>
      <c r="F16" s="55">
        <v>0</v>
      </c>
    </row>
    <row r="17" spans="1:6">
      <c r="A17" s="12"/>
      <c r="B17" s="13" t="s">
        <v>234</v>
      </c>
      <c r="C17" s="30">
        <v>1799.24287568</v>
      </c>
      <c r="D17" s="30">
        <v>1714</v>
      </c>
      <c r="E17" s="30">
        <v>85</v>
      </c>
      <c r="F17" s="30">
        <v>0</v>
      </c>
    </row>
    <row r="18" spans="1:6">
      <c r="A18" s="219">
        <v>2014</v>
      </c>
      <c r="B18" s="232" t="s">
        <v>231</v>
      </c>
      <c r="C18" s="55">
        <v>1806.8203681099999</v>
      </c>
      <c r="D18" s="55">
        <v>1734</v>
      </c>
      <c r="E18" s="55">
        <v>73</v>
      </c>
      <c r="F18" s="55">
        <v>0</v>
      </c>
    </row>
    <row r="19" spans="1:6">
      <c r="A19" s="10"/>
      <c r="B19" s="33" t="s">
        <v>232</v>
      </c>
      <c r="C19" s="55">
        <v>1820.4032913199999</v>
      </c>
      <c r="D19" s="55">
        <v>1735</v>
      </c>
      <c r="E19" s="55">
        <v>85</v>
      </c>
      <c r="F19" s="55" t="s">
        <v>406</v>
      </c>
    </row>
    <row r="20" spans="1:6">
      <c r="A20" s="10"/>
      <c r="B20" s="33" t="s">
        <v>233</v>
      </c>
      <c r="C20" s="55">
        <v>1866.7646524199999</v>
      </c>
      <c r="D20" s="55">
        <v>1781</v>
      </c>
      <c r="E20" s="55">
        <v>76</v>
      </c>
      <c r="F20" s="55">
        <v>10</v>
      </c>
    </row>
    <row r="21" spans="1:6">
      <c r="A21" s="12"/>
      <c r="B21" s="34" t="s">
        <v>234</v>
      </c>
      <c r="C21" s="30">
        <v>2099</v>
      </c>
      <c r="D21" s="30">
        <v>2009</v>
      </c>
      <c r="E21" s="30">
        <v>79</v>
      </c>
      <c r="F21" s="30">
        <v>11</v>
      </c>
    </row>
    <row r="22" spans="1:6">
      <c r="A22" s="10">
        <v>2015</v>
      </c>
      <c r="B22" s="33" t="s">
        <v>231</v>
      </c>
      <c r="C22" s="55">
        <v>1843.0529084100001</v>
      </c>
      <c r="D22" s="55">
        <v>1755</v>
      </c>
      <c r="E22" s="55">
        <v>88</v>
      </c>
      <c r="F22" s="55" t="s">
        <v>407</v>
      </c>
    </row>
    <row r="23" spans="1:6">
      <c r="A23" s="10"/>
      <c r="B23" s="11" t="s">
        <v>232</v>
      </c>
      <c r="C23" s="55">
        <v>1908.5335361600003</v>
      </c>
      <c r="D23" s="55">
        <v>1820</v>
      </c>
      <c r="E23" s="55">
        <v>89</v>
      </c>
      <c r="F23" s="55">
        <v>0</v>
      </c>
    </row>
    <row r="24" spans="1:6">
      <c r="A24" s="10"/>
      <c r="B24" s="11" t="s">
        <v>233</v>
      </c>
      <c r="C24" s="55">
        <v>1864.4117747099997</v>
      </c>
      <c r="D24" s="55">
        <v>1782</v>
      </c>
      <c r="E24" s="55">
        <v>82</v>
      </c>
      <c r="F24" s="55">
        <v>0</v>
      </c>
    </row>
    <row r="25" spans="1:6">
      <c r="A25" s="12"/>
      <c r="B25" s="13" t="s">
        <v>234</v>
      </c>
      <c r="C25" s="30">
        <v>1794.1949999999999</v>
      </c>
      <c r="D25" s="30">
        <v>1708</v>
      </c>
      <c r="E25" s="30">
        <v>86</v>
      </c>
      <c r="F25" s="30">
        <v>0</v>
      </c>
    </row>
    <row r="26" spans="1:6">
      <c r="A26" s="219">
        <v>2016</v>
      </c>
      <c r="B26" s="220" t="s">
        <v>231</v>
      </c>
      <c r="C26" s="236">
        <v>1694.136</v>
      </c>
      <c r="D26" s="236">
        <v>1609.229</v>
      </c>
      <c r="E26" s="236">
        <v>84.9</v>
      </c>
      <c r="F26" s="236">
        <v>0</v>
      </c>
    </row>
    <row r="27" spans="1:6">
      <c r="A27" s="58"/>
      <c r="B27" s="13" t="s">
        <v>232</v>
      </c>
      <c r="C27" s="30">
        <v>1733</v>
      </c>
      <c r="D27" s="30">
        <v>1656</v>
      </c>
      <c r="E27" s="30">
        <v>77</v>
      </c>
      <c r="F27" s="30">
        <v>0</v>
      </c>
    </row>
    <row r="28" spans="1:6">
      <c r="A28" s="6" t="s">
        <v>408</v>
      </c>
    </row>
  </sheetData>
  <mergeCells count="3">
    <mergeCell ref="A3:F3"/>
    <mergeCell ref="A4:B5"/>
    <mergeCell ref="C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1"/>
  <sheetViews>
    <sheetView workbookViewId="0">
      <pane xSplit="2" ySplit="5" topLeftCell="C15" activePane="bottomRight" state="frozen"/>
      <selection pane="topRight" activeCell="C1" sqref="C1"/>
      <selection pane="bottomLeft" activeCell="A6" sqref="A6"/>
      <selection pane="bottomRight" activeCell="C6" sqref="C6"/>
    </sheetView>
  </sheetViews>
  <sheetFormatPr defaultColWidth="9.1796875" defaultRowHeight="12.5"/>
  <cols>
    <col min="1" max="2" width="6.81640625" style="6" customWidth="1"/>
    <col min="3" max="7" width="15.81640625" style="6" customWidth="1"/>
    <col min="8" max="16384" width="9.1796875" style="6"/>
  </cols>
  <sheetData>
    <row r="1" spans="1:7" s="4" customFormat="1" ht="14">
      <c r="A1" s="1" t="s">
        <v>121</v>
      </c>
    </row>
    <row r="3" spans="1:7">
      <c r="A3" s="735" t="s">
        <v>97</v>
      </c>
      <c r="B3" s="735"/>
      <c r="C3" s="735"/>
      <c r="D3" s="735"/>
      <c r="E3" s="735"/>
      <c r="F3" s="735"/>
      <c r="G3" s="735"/>
    </row>
    <row r="4" spans="1:7" ht="15" customHeight="1">
      <c r="A4" s="736" t="s">
        <v>98</v>
      </c>
      <c r="B4" s="737"/>
      <c r="C4" s="740" t="s">
        <v>122</v>
      </c>
      <c r="D4" s="740"/>
      <c r="E4" s="740"/>
      <c r="F4" s="740"/>
      <c r="G4" s="741"/>
    </row>
    <row r="5" spans="1:7" ht="25">
      <c r="A5" s="738"/>
      <c r="B5" s="739"/>
      <c r="C5" s="9" t="s">
        <v>102</v>
      </c>
      <c r="D5" s="21" t="s">
        <v>123</v>
      </c>
      <c r="E5" s="21" t="s">
        <v>3</v>
      </c>
      <c r="F5" s="21" t="s">
        <v>124</v>
      </c>
      <c r="G5" s="21" t="s">
        <v>125</v>
      </c>
    </row>
    <row r="6" spans="1:7">
      <c r="A6" s="219">
        <v>2011</v>
      </c>
      <c r="B6" s="220" t="s">
        <v>105</v>
      </c>
      <c r="C6" s="221">
        <v>12331.269786609799</v>
      </c>
      <c r="D6" s="221">
        <v>8704.3718988565015</v>
      </c>
      <c r="E6" s="26">
        <v>1002.2</v>
      </c>
      <c r="F6" s="221">
        <v>161.88375752000002</v>
      </c>
      <c r="G6" s="22">
        <v>2786.5750429732989</v>
      </c>
    </row>
    <row r="7" spans="1:7">
      <c r="A7" s="10"/>
      <c r="B7" s="11" t="s">
        <v>106</v>
      </c>
      <c r="C7" s="23">
        <v>12642.519907101898</v>
      </c>
      <c r="D7" s="23">
        <v>8977.372538606498</v>
      </c>
      <c r="E7" s="26">
        <v>979.24</v>
      </c>
      <c r="F7" s="23">
        <v>174.68294985</v>
      </c>
      <c r="G7" s="22">
        <v>2860.5897263954002</v>
      </c>
    </row>
    <row r="8" spans="1:7">
      <c r="A8" s="10"/>
      <c r="B8" s="11" t="s">
        <v>107</v>
      </c>
      <c r="C8" s="23">
        <v>12985.017666593798</v>
      </c>
      <c r="D8" s="23">
        <v>9047.3147483330995</v>
      </c>
      <c r="E8" s="26">
        <v>949.84</v>
      </c>
      <c r="F8" s="23">
        <v>153.66705368000001</v>
      </c>
      <c r="G8" s="22">
        <v>3141.5152393806993</v>
      </c>
    </row>
    <row r="9" spans="1:7">
      <c r="A9" s="10"/>
      <c r="B9" s="11" t="s">
        <v>108</v>
      </c>
      <c r="C9" s="23">
        <v>13218.9883338656</v>
      </c>
      <c r="D9" s="23">
        <v>9303.4721708756006</v>
      </c>
      <c r="E9" s="26">
        <v>972.84</v>
      </c>
      <c r="F9" s="23">
        <v>152.99940286</v>
      </c>
      <c r="G9" s="22">
        <v>3095.6663063899991</v>
      </c>
    </row>
    <row r="10" spans="1:7">
      <c r="A10" s="10"/>
      <c r="B10" s="11" t="s">
        <v>109</v>
      </c>
      <c r="C10" s="23">
        <v>13458.543489505895</v>
      </c>
      <c r="D10" s="23">
        <v>9279.5928226926972</v>
      </c>
      <c r="E10" s="26">
        <v>971.09</v>
      </c>
      <c r="F10" s="23">
        <v>154.58286106</v>
      </c>
      <c r="G10" s="22">
        <v>3362.4398273731995</v>
      </c>
    </row>
    <row r="11" spans="1:7">
      <c r="A11" s="10"/>
      <c r="B11" s="11" t="s">
        <v>110</v>
      </c>
      <c r="C11" s="23">
        <v>13219.803726052598</v>
      </c>
      <c r="D11" s="23">
        <v>9361.0849130474999</v>
      </c>
      <c r="E11" s="26">
        <v>942.14</v>
      </c>
      <c r="F11" s="23">
        <v>153.71887966000003</v>
      </c>
      <c r="G11" s="22">
        <v>3070.2933006450994</v>
      </c>
    </row>
    <row r="12" spans="1:7">
      <c r="A12" s="10"/>
      <c r="B12" s="11" t="s">
        <v>111</v>
      </c>
      <c r="C12" s="23">
        <v>13159.375481735657</v>
      </c>
      <c r="D12" s="23">
        <v>9836.3346606211708</v>
      </c>
      <c r="E12" s="26">
        <v>953.02</v>
      </c>
      <c r="F12" s="23">
        <v>163.42764524999998</v>
      </c>
      <c r="G12" s="22">
        <v>2533.4353659944873</v>
      </c>
    </row>
    <row r="13" spans="1:7">
      <c r="A13" s="10"/>
      <c r="B13" s="11" t="s">
        <v>112</v>
      </c>
      <c r="C13" s="23">
        <v>13079.109380002252</v>
      </c>
      <c r="D13" s="23">
        <v>9663.5753910079475</v>
      </c>
      <c r="E13" s="26">
        <v>970.79</v>
      </c>
      <c r="F13" s="23">
        <v>165.54835316</v>
      </c>
      <c r="G13" s="22">
        <v>2610.2553366243042</v>
      </c>
    </row>
    <row r="14" spans="1:7">
      <c r="A14" s="10"/>
      <c r="B14" s="11" t="s">
        <v>113</v>
      </c>
      <c r="C14" s="23">
        <v>13068.286219825966</v>
      </c>
      <c r="D14" s="23">
        <v>9386.0694445144945</v>
      </c>
      <c r="E14" s="26">
        <v>915.19</v>
      </c>
      <c r="F14" s="23">
        <v>150.45415818000001</v>
      </c>
      <c r="G14" s="22">
        <v>2917.472282621472</v>
      </c>
    </row>
    <row r="15" spans="1:7">
      <c r="A15" s="10"/>
      <c r="B15" s="11" t="s">
        <v>114</v>
      </c>
      <c r="C15" s="23">
        <v>14007.024537491265</v>
      </c>
      <c r="D15" s="23">
        <v>9898.5600783610716</v>
      </c>
      <c r="E15" s="26">
        <v>1002.48</v>
      </c>
      <c r="F15" s="23">
        <v>234.93420376</v>
      </c>
      <c r="G15" s="22">
        <v>3340.9238655301933</v>
      </c>
    </row>
    <row r="16" spans="1:7">
      <c r="A16" s="10"/>
      <c r="B16" s="11" t="s">
        <v>115</v>
      </c>
      <c r="C16" s="23">
        <v>13883.959060948289</v>
      </c>
      <c r="D16" s="23">
        <v>9920.5102838430794</v>
      </c>
      <c r="E16" s="26">
        <v>1003.65</v>
      </c>
      <c r="F16" s="23">
        <v>231.10669067999999</v>
      </c>
      <c r="G16" s="22">
        <v>3190.9098128052101</v>
      </c>
    </row>
    <row r="17" spans="1:7">
      <c r="A17" s="12"/>
      <c r="B17" s="13" t="s">
        <v>116</v>
      </c>
      <c r="C17" s="24">
        <v>13836.155842331013</v>
      </c>
      <c r="D17" s="24">
        <v>9603.6961333784657</v>
      </c>
      <c r="E17" s="27">
        <v>1689.99</v>
      </c>
      <c r="F17" s="24">
        <v>858.92750224999997</v>
      </c>
      <c r="G17" s="25">
        <v>3401.4212508825467</v>
      </c>
    </row>
    <row r="18" spans="1:7">
      <c r="A18" s="10">
        <v>2012</v>
      </c>
      <c r="B18" s="11" t="s">
        <v>105</v>
      </c>
      <c r="C18" s="23">
        <v>14829.162232062674</v>
      </c>
      <c r="D18" s="23">
        <v>9070.927621057881</v>
      </c>
      <c r="E18" s="26">
        <v>997.84082181999997</v>
      </c>
      <c r="F18" s="23">
        <v>177.68382673999997</v>
      </c>
      <c r="G18" s="22">
        <v>4938.0776159247926</v>
      </c>
    </row>
    <row r="19" spans="1:7">
      <c r="A19" s="10"/>
      <c r="B19" s="11" t="s">
        <v>106</v>
      </c>
      <c r="C19" s="23">
        <v>13815.877680321602</v>
      </c>
      <c r="D19" s="23">
        <v>9797.2053079787147</v>
      </c>
      <c r="E19" s="26">
        <v>1125.6970962999999</v>
      </c>
      <c r="F19" s="23">
        <v>317.92885011999999</v>
      </c>
      <c r="G19" s="22">
        <v>3210.9041261628868</v>
      </c>
    </row>
    <row r="20" spans="1:7">
      <c r="A20" s="10"/>
      <c r="B20" s="11" t="s">
        <v>107</v>
      </c>
      <c r="C20" s="23">
        <v>14834.669845295677</v>
      </c>
      <c r="D20" s="23">
        <v>10009.105908191403</v>
      </c>
      <c r="E20" s="26">
        <v>1238.85499026</v>
      </c>
      <c r="F20" s="23">
        <v>440.08611082000004</v>
      </c>
      <c r="G20" s="22">
        <v>3686.7246235942757</v>
      </c>
    </row>
    <row r="21" spans="1:7">
      <c r="A21" s="10"/>
      <c r="B21" s="11" t="s">
        <v>108</v>
      </c>
      <c r="C21" s="23">
        <v>14431.253928635824</v>
      </c>
      <c r="D21" s="23">
        <v>9338.9545873104435</v>
      </c>
      <c r="E21" s="26">
        <v>2346.5936323900005</v>
      </c>
      <c r="F21" s="23">
        <v>1555.66461587</v>
      </c>
      <c r="G21" s="22">
        <v>4301.3703248053807</v>
      </c>
    </row>
    <row r="22" spans="1:7">
      <c r="A22" s="10"/>
      <c r="B22" s="11" t="s">
        <v>109</v>
      </c>
      <c r="C22" s="23">
        <v>14116.127495280289</v>
      </c>
      <c r="D22" s="23">
        <v>9762.3384726325676</v>
      </c>
      <c r="E22" s="26">
        <v>2062.0124522600004</v>
      </c>
      <c r="F22" s="23">
        <v>1216.9239068100003</v>
      </c>
      <c r="G22" s="22">
        <v>3508.7004771977204</v>
      </c>
    </row>
    <row r="23" spans="1:7">
      <c r="A23" s="10"/>
      <c r="B23" s="11" t="s">
        <v>110</v>
      </c>
      <c r="C23" s="23">
        <v>13807.746365425151</v>
      </c>
      <c r="D23" s="23">
        <v>9440.7543857928576</v>
      </c>
      <c r="E23" s="26">
        <v>2125.1717992499998</v>
      </c>
      <c r="F23" s="23">
        <v>1238.2597494299998</v>
      </c>
      <c r="G23" s="22">
        <v>3480.0799298122929</v>
      </c>
    </row>
    <row r="24" spans="1:7">
      <c r="A24" s="10"/>
      <c r="B24" s="11" t="s">
        <v>111</v>
      </c>
      <c r="C24" s="23">
        <v>14290.755789514025</v>
      </c>
      <c r="D24" s="23">
        <v>9629.6779281229374</v>
      </c>
      <c r="E24" s="26">
        <v>2109.1354985899998</v>
      </c>
      <c r="F24" s="23">
        <v>1212.2921713200001</v>
      </c>
      <c r="G24" s="22">
        <v>3764.2345341210885</v>
      </c>
    </row>
    <row r="25" spans="1:7">
      <c r="A25" s="10"/>
      <c r="B25" s="11" t="s">
        <v>112</v>
      </c>
      <c r="C25" s="23">
        <v>14149.202945805508</v>
      </c>
      <c r="D25" s="23">
        <v>9465.9454169659602</v>
      </c>
      <c r="E25" s="26">
        <v>1848.6834745000001</v>
      </c>
      <c r="F25" s="23">
        <v>762.00768143000005</v>
      </c>
      <c r="G25" s="22">
        <v>3596.5817357695478</v>
      </c>
    </row>
    <row r="26" spans="1:7">
      <c r="A26" s="10"/>
      <c r="B26" s="11" t="s">
        <v>113</v>
      </c>
      <c r="C26" s="23">
        <v>14007.931175731745</v>
      </c>
      <c r="D26" s="23">
        <v>9524.0636615659259</v>
      </c>
      <c r="E26" s="26">
        <v>1623.7179944100001</v>
      </c>
      <c r="F26" s="23">
        <v>663.04957146999993</v>
      </c>
      <c r="G26" s="22">
        <v>3523.1990912258184</v>
      </c>
    </row>
    <row r="27" spans="1:7">
      <c r="A27" s="10"/>
      <c r="B27" s="11" t="s">
        <v>114</v>
      </c>
      <c r="C27" s="23">
        <v>14902.659130986242</v>
      </c>
      <c r="D27" s="23">
        <v>10314.578734937162</v>
      </c>
      <c r="E27" s="26">
        <v>1610.3939718300001</v>
      </c>
      <c r="F27" s="23">
        <v>664.66263449999997</v>
      </c>
      <c r="G27" s="22">
        <v>3642.3490587190786</v>
      </c>
    </row>
    <row r="28" spans="1:7">
      <c r="A28" s="10"/>
      <c r="B28" s="11" t="s">
        <v>115</v>
      </c>
      <c r="C28" s="23"/>
      <c r="D28" s="23"/>
      <c r="E28" s="26"/>
      <c r="F28" s="23"/>
      <c r="G28" s="22"/>
    </row>
    <row r="29" spans="1:7">
      <c r="A29" s="12"/>
      <c r="B29" s="13" t="s">
        <v>116</v>
      </c>
      <c r="C29" s="24"/>
      <c r="D29" s="24"/>
      <c r="E29" s="27"/>
      <c r="F29" s="24"/>
      <c r="G29" s="25"/>
    </row>
    <row r="31" spans="1:7">
      <c r="A31" s="6" t="s">
        <v>126</v>
      </c>
    </row>
  </sheetData>
  <mergeCells count="3">
    <mergeCell ref="A3:G3"/>
    <mergeCell ref="A4:B5"/>
    <mergeCell ref="C4:G4"/>
  </mergeCells>
  <pageMargins left="0.7" right="0.7" top="0.75" bottom="0.75" header="0.3" footer="0.3"/>
  <pageSetup orientation="landscape" verticalDpi="598"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5"/>
  <sheetViews>
    <sheetView zoomScaleNormal="100" workbookViewId="0">
      <pane xSplit="2" ySplit="5" topLeftCell="C18" activePane="bottomRight" state="frozen"/>
      <selection pane="topRight" activeCell="C1" sqref="C1"/>
      <selection pane="bottomLeft" activeCell="A6" sqref="A6"/>
      <selection pane="bottomRight" activeCell="X24" sqref="X24"/>
    </sheetView>
  </sheetViews>
  <sheetFormatPr defaultColWidth="9.1796875" defaultRowHeight="12.5"/>
  <cols>
    <col min="1" max="2" width="5.81640625" style="6" customWidth="1"/>
    <col min="3" max="9" width="7.81640625" style="6" customWidth="1"/>
    <col min="10" max="10" width="5.81640625" style="6" customWidth="1"/>
    <col min="11" max="11" width="1.81640625" style="6" customWidth="1"/>
    <col min="12" max="14" width="7.81640625" style="6" customWidth="1"/>
    <col min="15" max="15" width="6.81640625" style="6" customWidth="1"/>
    <col min="16" max="16" width="5.81640625" style="6" customWidth="1"/>
    <col min="17" max="17" width="6.81640625" style="6" customWidth="1"/>
    <col min="18" max="19" width="5.81640625" style="6" customWidth="1"/>
    <col min="20" max="20" width="7.81640625" style="6" customWidth="1"/>
    <col min="21" max="21" width="6.81640625" style="6" customWidth="1"/>
    <col min="22" max="16384" width="9.1796875" style="6"/>
  </cols>
  <sheetData>
    <row r="1" spans="1:21" s="4" customFormat="1" ht="14">
      <c r="A1" s="1" t="s">
        <v>127</v>
      </c>
    </row>
    <row r="3" spans="1:21" ht="15.75" customHeight="1">
      <c r="A3" s="744" t="s">
        <v>97</v>
      </c>
      <c r="B3" s="744"/>
      <c r="C3" s="744"/>
      <c r="D3" s="744"/>
      <c r="E3" s="744"/>
      <c r="F3" s="744"/>
      <c r="G3" s="744"/>
      <c r="H3" s="744"/>
      <c r="I3" s="744"/>
      <c r="J3" s="744"/>
      <c r="K3" s="744"/>
      <c r="L3" s="744"/>
      <c r="M3" s="744"/>
      <c r="N3" s="744"/>
      <c r="O3" s="744"/>
      <c r="P3" s="744"/>
      <c r="Q3" s="744"/>
      <c r="R3" s="744"/>
      <c r="S3" s="744"/>
      <c r="T3" s="744"/>
      <c r="U3" s="744"/>
    </row>
    <row r="4" spans="1:21" ht="15.75" customHeight="1">
      <c r="A4" s="746" t="s">
        <v>98</v>
      </c>
      <c r="B4" s="746"/>
      <c r="C4" s="745" t="s">
        <v>128</v>
      </c>
      <c r="D4" s="740"/>
      <c r="E4" s="741"/>
      <c r="F4" s="743" t="s">
        <v>129</v>
      </c>
      <c r="G4" s="740" t="s">
        <v>130</v>
      </c>
      <c r="H4" s="740"/>
      <c r="I4" s="741"/>
      <c r="J4" s="743" t="s">
        <v>131</v>
      </c>
      <c r="K4" s="743"/>
      <c r="L4" s="740" t="s">
        <v>132</v>
      </c>
      <c r="M4" s="740"/>
      <c r="N4" s="740"/>
      <c r="O4" s="740"/>
      <c r="P4" s="742" t="s">
        <v>133</v>
      </c>
      <c r="Q4" s="742" t="s">
        <v>134</v>
      </c>
      <c r="R4" s="742" t="s">
        <v>135</v>
      </c>
      <c r="S4" s="742" t="s">
        <v>53</v>
      </c>
      <c r="T4" s="742" t="s">
        <v>90</v>
      </c>
      <c r="U4" s="742" t="s">
        <v>136</v>
      </c>
    </row>
    <row r="5" spans="1:21" ht="90" customHeight="1">
      <c r="A5" s="747"/>
      <c r="B5" s="747"/>
      <c r="C5" s="28" t="s">
        <v>102</v>
      </c>
      <c r="D5" s="223" t="s">
        <v>137</v>
      </c>
      <c r="E5" s="222" t="s">
        <v>138</v>
      </c>
      <c r="F5" s="748"/>
      <c r="G5" s="29" t="s">
        <v>102</v>
      </c>
      <c r="H5" s="222" t="s">
        <v>139</v>
      </c>
      <c r="I5" s="222" t="s">
        <v>140</v>
      </c>
      <c r="J5" s="748"/>
      <c r="K5" s="748"/>
      <c r="L5" s="29" t="s">
        <v>102</v>
      </c>
      <c r="M5" s="223" t="s">
        <v>141</v>
      </c>
      <c r="N5" s="222" t="s">
        <v>142</v>
      </c>
      <c r="O5" s="224" t="s">
        <v>143</v>
      </c>
      <c r="P5" s="743"/>
      <c r="Q5" s="743"/>
      <c r="R5" s="743"/>
      <c r="S5" s="743"/>
      <c r="T5" s="743"/>
      <c r="U5" s="743"/>
    </row>
    <row r="6" spans="1:21">
      <c r="A6" s="219">
        <v>2011</v>
      </c>
      <c r="B6" s="220" t="s">
        <v>105</v>
      </c>
      <c r="C6" s="225">
        <v>1561.8613459755002</v>
      </c>
      <c r="D6" s="226">
        <v>2001.0329705305001</v>
      </c>
      <c r="E6" s="227">
        <v>-439.17162455499999</v>
      </c>
      <c r="F6" s="226">
        <v>1014.5596783399999</v>
      </c>
      <c r="G6" s="227">
        <v>131.15429039</v>
      </c>
      <c r="H6" s="226">
        <v>300.85007994</v>
      </c>
      <c r="I6" s="227">
        <v>-169.69578955</v>
      </c>
      <c r="J6" s="226">
        <v>0</v>
      </c>
      <c r="K6" s="748"/>
      <c r="L6" s="227">
        <v>1686.3245488100001</v>
      </c>
      <c r="M6" s="228">
        <v>1002.2066023</v>
      </c>
      <c r="N6" s="225">
        <v>684.11794651000002</v>
      </c>
      <c r="O6" s="228">
        <v>0</v>
      </c>
      <c r="P6" s="225">
        <v>3.4999999999999997E-5</v>
      </c>
      <c r="Q6" s="228">
        <v>0</v>
      </c>
      <c r="R6" s="225">
        <v>0</v>
      </c>
      <c r="S6" s="228">
        <v>0</v>
      </c>
      <c r="T6" s="225">
        <v>1039.0333730700002</v>
      </c>
      <c r="U6" s="228">
        <v>-17.782642174500051</v>
      </c>
    </row>
    <row r="7" spans="1:21">
      <c r="A7" s="10"/>
      <c r="B7" s="11" t="s">
        <v>106</v>
      </c>
      <c r="C7" s="41">
        <v>1654.481421233</v>
      </c>
      <c r="D7" s="42">
        <v>2095.045257923</v>
      </c>
      <c r="E7" s="43">
        <v>-440.56383668999996</v>
      </c>
      <c r="F7" s="42">
        <v>930.99284251999995</v>
      </c>
      <c r="G7" s="43">
        <v>131.07422813999997</v>
      </c>
      <c r="H7" s="42">
        <v>300.89112103999997</v>
      </c>
      <c r="I7" s="43">
        <v>-169.8168929</v>
      </c>
      <c r="J7" s="42">
        <v>0</v>
      </c>
      <c r="K7" s="748"/>
      <c r="L7" s="43">
        <v>1693.73389318</v>
      </c>
      <c r="M7" s="44">
        <v>979.24059195000007</v>
      </c>
      <c r="N7" s="41">
        <v>714.49330123000004</v>
      </c>
      <c r="O7" s="44">
        <v>0</v>
      </c>
      <c r="P7" s="41">
        <v>0</v>
      </c>
      <c r="Q7" s="44">
        <v>0</v>
      </c>
      <c r="R7" s="41">
        <v>0</v>
      </c>
      <c r="S7" s="44">
        <v>0</v>
      </c>
      <c r="T7" s="41">
        <v>1040.22884892</v>
      </c>
      <c r="U7" s="44">
        <v>-17.414250206999998</v>
      </c>
    </row>
    <row r="8" spans="1:21">
      <c r="A8" s="10"/>
      <c r="B8" s="11" t="s">
        <v>107</v>
      </c>
      <c r="C8" s="41">
        <v>1687.2494732854507</v>
      </c>
      <c r="D8" s="42">
        <v>2132.8576728129506</v>
      </c>
      <c r="E8" s="43">
        <v>-445.60819952750001</v>
      </c>
      <c r="F8" s="42">
        <v>888.18618026000001</v>
      </c>
      <c r="G8" s="43">
        <v>130.98010568000001</v>
      </c>
      <c r="H8" s="42">
        <v>300.83287831000001</v>
      </c>
      <c r="I8" s="43">
        <v>-169.85277263</v>
      </c>
      <c r="J8" s="42">
        <v>0</v>
      </c>
      <c r="K8" s="748"/>
      <c r="L8" s="43">
        <v>1680.9952100700002</v>
      </c>
      <c r="M8" s="44">
        <v>949.85473256000012</v>
      </c>
      <c r="N8" s="41">
        <v>731.14047750999998</v>
      </c>
      <c r="O8" s="44">
        <v>0</v>
      </c>
      <c r="P8" s="41">
        <v>0</v>
      </c>
      <c r="Q8" s="44">
        <v>0</v>
      </c>
      <c r="R8" s="41">
        <v>0</v>
      </c>
      <c r="S8" s="44">
        <v>0</v>
      </c>
      <c r="T8" s="41">
        <v>1043.6480916400001</v>
      </c>
      <c r="U8" s="44">
        <v>-18.227542484549961</v>
      </c>
    </row>
    <row r="9" spans="1:21">
      <c r="A9" s="10"/>
      <c r="B9" s="11" t="s">
        <v>108</v>
      </c>
      <c r="C9" s="41">
        <v>1647.0206361894402</v>
      </c>
      <c r="D9" s="42">
        <v>2090.7102450514403</v>
      </c>
      <c r="E9" s="43">
        <v>-443.689608862</v>
      </c>
      <c r="F9" s="42">
        <v>943.10874151999997</v>
      </c>
      <c r="G9" s="43">
        <v>121.66314621999999</v>
      </c>
      <c r="H9" s="42">
        <v>300.76618251000002</v>
      </c>
      <c r="I9" s="43">
        <v>-179.10303629000003</v>
      </c>
      <c r="J9" s="42">
        <v>0</v>
      </c>
      <c r="K9" s="748"/>
      <c r="L9" s="43">
        <v>1682.6209569600001</v>
      </c>
      <c r="M9" s="44">
        <v>972.84925945999998</v>
      </c>
      <c r="N9" s="41">
        <v>709.77169749999996</v>
      </c>
      <c r="O9" s="44">
        <v>0</v>
      </c>
      <c r="P9" s="41">
        <v>0</v>
      </c>
      <c r="Q9" s="44">
        <v>0</v>
      </c>
      <c r="R9" s="41">
        <v>0</v>
      </c>
      <c r="S9" s="44">
        <v>0</v>
      </c>
      <c r="T9" s="41">
        <v>1047.1161366599999</v>
      </c>
      <c r="U9" s="44">
        <v>-17.944569690560009</v>
      </c>
    </row>
    <row r="10" spans="1:21">
      <c r="A10" s="10"/>
      <c r="B10" s="11" t="s">
        <v>109</v>
      </c>
      <c r="C10" s="41">
        <v>1663.96658557</v>
      </c>
      <c r="D10" s="42">
        <v>2119.4091027899999</v>
      </c>
      <c r="E10" s="43">
        <v>-455.44251722000001</v>
      </c>
      <c r="F10" s="42">
        <v>997.85324970999989</v>
      </c>
      <c r="G10" s="43">
        <v>121.82682159000001</v>
      </c>
      <c r="H10" s="42">
        <v>300.76914149999999</v>
      </c>
      <c r="I10" s="43">
        <v>-178.94231990999998</v>
      </c>
      <c r="J10" s="42">
        <v>0</v>
      </c>
      <c r="K10" s="748"/>
      <c r="L10" s="43">
        <v>1754.13385857</v>
      </c>
      <c r="M10" s="44">
        <v>971.09370050000007</v>
      </c>
      <c r="N10" s="41">
        <v>783.04015806999996</v>
      </c>
      <c r="O10" s="44">
        <v>0</v>
      </c>
      <c r="P10" s="41">
        <v>0</v>
      </c>
      <c r="Q10" s="44">
        <v>0</v>
      </c>
      <c r="R10" s="41">
        <v>0</v>
      </c>
      <c r="S10" s="44">
        <v>0</v>
      </c>
      <c r="T10" s="41">
        <v>1047.4927553800001</v>
      </c>
      <c r="U10" s="44">
        <v>-17.979957079999906</v>
      </c>
    </row>
    <row r="11" spans="1:21">
      <c r="A11" s="10"/>
      <c r="B11" s="11" t="s">
        <v>110</v>
      </c>
      <c r="C11" s="41">
        <v>1677.6893982826002</v>
      </c>
      <c r="D11" s="42">
        <v>2116.9366863526002</v>
      </c>
      <c r="E11" s="43">
        <v>-439.24728807000002</v>
      </c>
      <c r="F11" s="42">
        <v>974.91395134000004</v>
      </c>
      <c r="G11" s="43">
        <v>121.75005969999998</v>
      </c>
      <c r="H11" s="42">
        <v>300.76754053999997</v>
      </c>
      <c r="I11" s="43">
        <v>-179.01748083999999</v>
      </c>
      <c r="J11" s="42">
        <v>0</v>
      </c>
      <c r="K11" s="748"/>
      <c r="L11" s="43">
        <v>1742.62031129</v>
      </c>
      <c r="M11" s="44">
        <v>942.14439202000005</v>
      </c>
      <c r="N11" s="41">
        <v>800.47591926999996</v>
      </c>
      <c r="O11" s="44">
        <v>0</v>
      </c>
      <c r="P11" s="41">
        <v>0</v>
      </c>
      <c r="Q11" s="44">
        <v>0</v>
      </c>
      <c r="R11" s="41">
        <v>0</v>
      </c>
      <c r="S11" s="44">
        <v>0</v>
      </c>
      <c r="T11" s="41">
        <v>1049.69590685</v>
      </c>
      <c r="U11" s="44">
        <v>-17.962808817399925</v>
      </c>
    </row>
    <row r="12" spans="1:21">
      <c r="A12" s="10"/>
      <c r="B12" s="11" t="s">
        <v>111</v>
      </c>
      <c r="C12" s="41">
        <v>1665.0276529509999</v>
      </c>
      <c r="D12" s="42">
        <v>2095.236780321</v>
      </c>
      <c r="E12" s="43">
        <v>-430.20912736999998</v>
      </c>
      <c r="F12" s="42">
        <v>989.3741104500001</v>
      </c>
      <c r="G12" s="43">
        <v>122.64611750999995</v>
      </c>
      <c r="H12" s="42">
        <v>300.79520437999997</v>
      </c>
      <c r="I12" s="43">
        <v>-178.14908687000002</v>
      </c>
      <c r="J12" s="42">
        <v>0</v>
      </c>
      <c r="K12" s="748"/>
      <c r="L12" s="43">
        <v>1745.7466426300002</v>
      </c>
      <c r="M12" s="44">
        <v>953.03310037000006</v>
      </c>
      <c r="N12" s="41">
        <v>792.71354226000005</v>
      </c>
      <c r="O12" s="44">
        <v>0</v>
      </c>
      <c r="P12" s="41">
        <v>0</v>
      </c>
      <c r="Q12" s="44">
        <v>0</v>
      </c>
      <c r="R12" s="41">
        <v>0</v>
      </c>
      <c r="S12" s="44">
        <v>0</v>
      </c>
      <c r="T12" s="41">
        <v>1056.73103219</v>
      </c>
      <c r="U12" s="44">
        <v>-25.429793909000033</v>
      </c>
    </row>
    <row r="13" spans="1:21">
      <c r="A13" s="10"/>
      <c r="B13" s="11" t="s">
        <v>112</v>
      </c>
      <c r="C13" s="41">
        <v>1630.7070324701599</v>
      </c>
      <c r="D13" s="42">
        <v>2193.4963845461598</v>
      </c>
      <c r="E13" s="43">
        <v>-562.78935207599989</v>
      </c>
      <c r="F13" s="42">
        <v>1096.89337118</v>
      </c>
      <c r="G13" s="43">
        <v>121.99132213000001</v>
      </c>
      <c r="H13" s="42">
        <v>300.77712778</v>
      </c>
      <c r="I13" s="43">
        <v>-178.78580564999999</v>
      </c>
      <c r="J13" s="42">
        <v>0</v>
      </c>
      <c r="K13" s="748"/>
      <c r="L13" s="43">
        <v>1814.5521849400002</v>
      </c>
      <c r="M13" s="44">
        <v>970.82700552999995</v>
      </c>
      <c r="N13" s="41">
        <v>843.72517941000012</v>
      </c>
      <c r="O13" s="44">
        <v>0</v>
      </c>
      <c r="P13" s="41">
        <v>4.8000000000000001E-4</v>
      </c>
      <c r="Q13" s="44">
        <v>0</v>
      </c>
      <c r="R13" s="41">
        <v>0</v>
      </c>
      <c r="S13" s="44">
        <v>0</v>
      </c>
      <c r="T13" s="41">
        <v>1061.6575308200001</v>
      </c>
      <c r="U13" s="44">
        <v>-26.618469979839944</v>
      </c>
    </row>
    <row r="14" spans="1:21">
      <c r="A14" s="10"/>
      <c r="B14" s="11" t="s">
        <v>113</v>
      </c>
      <c r="C14" s="41">
        <v>1618.7268616624604</v>
      </c>
      <c r="D14" s="42">
        <v>2194.8432078834603</v>
      </c>
      <c r="E14" s="43">
        <v>-576.11634622099996</v>
      </c>
      <c r="F14" s="42">
        <v>1094.4240078099999</v>
      </c>
      <c r="G14" s="43">
        <v>119.31214656999998</v>
      </c>
      <c r="H14" s="42">
        <v>300.76349492999998</v>
      </c>
      <c r="I14" s="43">
        <v>-181.45134836</v>
      </c>
      <c r="J14" s="42">
        <v>0</v>
      </c>
      <c r="K14" s="748"/>
      <c r="L14" s="43">
        <v>1803.95705879</v>
      </c>
      <c r="M14" s="44">
        <v>915.19865087000005</v>
      </c>
      <c r="N14" s="41">
        <v>888.75840791999997</v>
      </c>
      <c r="O14" s="44">
        <v>0</v>
      </c>
      <c r="P14" s="41">
        <v>4.8000000000000001E-4</v>
      </c>
      <c r="Q14" s="44">
        <v>0</v>
      </c>
      <c r="R14" s="41">
        <v>0</v>
      </c>
      <c r="S14" s="44">
        <v>0</v>
      </c>
      <c r="T14" s="41">
        <v>1055.2328665100001</v>
      </c>
      <c r="U14" s="44">
        <v>-26.72738925753999</v>
      </c>
    </row>
    <row r="15" spans="1:21">
      <c r="A15" s="10"/>
      <c r="B15" s="11" t="s">
        <v>114</v>
      </c>
      <c r="C15" s="41">
        <v>1630.1893638697998</v>
      </c>
      <c r="D15" s="42">
        <v>2175.0251146597998</v>
      </c>
      <c r="E15" s="43">
        <v>-544.83575079000002</v>
      </c>
      <c r="F15" s="42">
        <v>1134.01091531</v>
      </c>
      <c r="G15" s="43">
        <v>139.07018928999997</v>
      </c>
      <c r="H15" s="42">
        <v>300.77451328999996</v>
      </c>
      <c r="I15" s="43">
        <v>-161.70432399999999</v>
      </c>
      <c r="J15" s="42">
        <v>0</v>
      </c>
      <c r="K15" s="748"/>
      <c r="L15" s="43">
        <v>1869.4204837800003</v>
      </c>
      <c r="M15" s="44">
        <v>1002.4747973600001</v>
      </c>
      <c r="N15" s="41">
        <v>866.94568642000002</v>
      </c>
      <c r="O15" s="44">
        <v>0</v>
      </c>
      <c r="P15" s="41">
        <v>4.8000000000000001E-4</v>
      </c>
      <c r="Q15" s="44">
        <v>0</v>
      </c>
      <c r="R15" s="41">
        <v>0</v>
      </c>
      <c r="S15" s="44">
        <v>0</v>
      </c>
      <c r="T15" s="41">
        <v>1060.90919095</v>
      </c>
      <c r="U15" s="44">
        <v>-27.059686260199896</v>
      </c>
    </row>
    <row r="16" spans="1:21">
      <c r="A16" s="10"/>
      <c r="B16" s="11" t="s">
        <v>115</v>
      </c>
      <c r="C16" s="41">
        <v>1659.62543281168</v>
      </c>
      <c r="D16" s="42">
        <v>2211.06285852768</v>
      </c>
      <c r="E16" s="43">
        <v>-551.43742571600001</v>
      </c>
      <c r="F16" s="42">
        <v>1181.6209812499999</v>
      </c>
      <c r="G16" s="43">
        <v>138.10515901999997</v>
      </c>
      <c r="H16" s="42">
        <v>300.80610902999996</v>
      </c>
      <c r="I16" s="43">
        <v>-162.70095000999999</v>
      </c>
      <c r="J16" s="42">
        <v>0</v>
      </c>
      <c r="K16" s="748"/>
      <c r="L16" s="43">
        <v>1939.4756455199999</v>
      </c>
      <c r="M16" s="44">
        <v>1003.6456549799999</v>
      </c>
      <c r="N16" s="41">
        <v>935.82999054000004</v>
      </c>
      <c r="O16" s="44">
        <v>0</v>
      </c>
      <c r="P16" s="41">
        <v>0</v>
      </c>
      <c r="Q16" s="44">
        <v>0</v>
      </c>
      <c r="R16" s="41">
        <v>0</v>
      </c>
      <c r="S16" s="44">
        <v>0</v>
      </c>
      <c r="T16" s="41">
        <v>1067.57451169</v>
      </c>
      <c r="U16" s="44">
        <v>-27.698584128320029</v>
      </c>
    </row>
    <row r="17" spans="1:21">
      <c r="A17" s="12"/>
      <c r="B17" s="13" t="s">
        <v>116</v>
      </c>
      <c r="C17" s="45">
        <v>2697.5475591680697</v>
      </c>
      <c r="D17" s="46">
        <v>3124.4030224295698</v>
      </c>
      <c r="E17" s="47">
        <v>-426.85546326149995</v>
      </c>
      <c r="F17" s="46">
        <v>850.21528043000001</v>
      </c>
      <c r="G17" s="47">
        <v>138.18142043</v>
      </c>
      <c r="H17" s="46">
        <v>300.76909787</v>
      </c>
      <c r="I17" s="47">
        <v>-162.58767743999999</v>
      </c>
      <c r="J17" s="46">
        <v>0</v>
      </c>
      <c r="K17" s="748"/>
      <c r="L17" s="47">
        <v>2665.47886251</v>
      </c>
      <c r="M17" s="48">
        <v>1689.98696032</v>
      </c>
      <c r="N17" s="45">
        <v>975.49190219000002</v>
      </c>
      <c r="O17" s="48">
        <v>0</v>
      </c>
      <c r="P17" s="45">
        <v>1.1646E-3</v>
      </c>
      <c r="Q17" s="48">
        <v>0</v>
      </c>
      <c r="R17" s="45">
        <v>0</v>
      </c>
      <c r="S17" s="48">
        <v>0</v>
      </c>
      <c r="T17" s="45">
        <v>1045.43821164</v>
      </c>
      <c r="U17" s="48">
        <v>-24.973978721929868</v>
      </c>
    </row>
    <row r="18" spans="1:21">
      <c r="A18" s="10">
        <v>2012</v>
      </c>
      <c r="B18" s="11" t="s">
        <v>105</v>
      </c>
      <c r="C18" s="41">
        <v>1856.3213081138801</v>
      </c>
      <c r="D18" s="42">
        <v>2272.4577169098802</v>
      </c>
      <c r="E18" s="43">
        <v>-416.13640879600001</v>
      </c>
      <c r="F18" s="42">
        <v>1001.0470333399999</v>
      </c>
      <c r="G18" s="43">
        <v>114.90561974000002</v>
      </c>
      <c r="H18" s="42">
        <v>300.79350226000003</v>
      </c>
      <c r="I18" s="43">
        <v>-185.88788252000001</v>
      </c>
      <c r="J18" s="42">
        <v>0</v>
      </c>
      <c r="K18" s="748"/>
      <c r="L18" s="43">
        <v>1972.1645864500001</v>
      </c>
      <c r="M18" s="44">
        <v>997.84082181999997</v>
      </c>
      <c r="N18" s="41">
        <v>974.32376463000003</v>
      </c>
      <c r="O18" s="44">
        <v>0</v>
      </c>
      <c r="P18" s="41">
        <v>1.2591936100000001</v>
      </c>
      <c r="Q18" s="44">
        <v>0</v>
      </c>
      <c r="R18" s="41">
        <v>0</v>
      </c>
      <c r="S18" s="44">
        <v>0</v>
      </c>
      <c r="T18" s="41">
        <v>1023.5100026599999</v>
      </c>
      <c r="U18" s="44">
        <v>-24.659821526119892</v>
      </c>
    </row>
    <row r="19" spans="1:21">
      <c r="A19" s="10"/>
      <c r="B19" s="11" t="s">
        <v>106</v>
      </c>
      <c r="C19" s="41">
        <v>1867.6603130472399</v>
      </c>
      <c r="D19" s="42">
        <v>2284.68895905524</v>
      </c>
      <c r="E19" s="43">
        <v>-417.02864600800001</v>
      </c>
      <c r="F19" s="42">
        <v>1122.91143253</v>
      </c>
      <c r="G19" s="43">
        <v>115.04219671000004</v>
      </c>
      <c r="H19" s="42">
        <v>300.82447958000006</v>
      </c>
      <c r="I19" s="43">
        <v>-185.78228287000002</v>
      </c>
      <c r="J19" s="42">
        <v>0</v>
      </c>
      <c r="K19" s="748"/>
      <c r="L19" s="43">
        <v>2101.7393385199998</v>
      </c>
      <c r="M19" s="44">
        <v>1125.6970962999999</v>
      </c>
      <c r="N19" s="41">
        <v>976.04224222000005</v>
      </c>
      <c r="O19" s="44">
        <v>0</v>
      </c>
      <c r="P19" s="41">
        <v>1.6078864399999999</v>
      </c>
      <c r="Q19" s="44">
        <v>0</v>
      </c>
      <c r="R19" s="41">
        <v>0</v>
      </c>
      <c r="S19" s="44">
        <v>0</v>
      </c>
      <c r="T19" s="41">
        <v>1027.3141662</v>
      </c>
      <c r="U19" s="44">
        <v>-25.047448872759748</v>
      </c>
    </row>
    <row r="20" spans="1:21">
      <c r="A20" s="10"/>
      <c r="B20" s="11" t="s">
        <v>107</v>
      </c>
      <c r="C20" s="41">
        <v>2345.7585307152399</v>
      </c>
      <c r="D20" s="42">
        <v>2770.1914895032401</v>
      </c>
      <c r="E20" s="43">
        <v>-424.43295878800001</v>
      </c>
      <c r="F20" s="42">
        <v>854.54140442000016</v>
      </c>
      <c r="G20" s="43">
        <v>114.90230099000001</v>
      </c>
      <c r="H20" s="42">
        <v>300.87742621000001</v>
      </c>
      <c r="I20" s="43">
        <v>-185.97512522</v>
      </c>
      <c r="J20" s="42">
        <v>0</v>
      </c>
      <c r="K20" s="748"/>
      <c r="L20" s="43">
        <v>2312.57026073</v>
      </c>
      <c r="M20" s="44">
        <v>1238.85499026</v>
      </c>
      <c r="N20" s="41">
        <v>1073.7152704700002</v>
      </c>
      <c r="O20" s="44">
        <v>0</v>
      </c>
      <c r="P20" s="41">
        <v>1.6481538900000001</v>
      </c>
      <c r="Q20" s="44">
        <v>0</v>
      </c>
      <c r="R20" s="41">
        <v>0</v>
      </c>
      <c r="S20" s="44">
        <v>0</v>
      </c>
      <c r="T20" s="41">
        <v>1025.9070016399999</v>
      </c>
      <c r="U20" s="44">
        <v>-24.923180134759914</v>
      </c>
    </row>
    <row r="21" spans="1:21">
      <c r="A21" s="10"/>
      <c r="B21" s="11" t="s">
        <v>108</v>
      </c>
      <c r="C21" s="41">
        <v>3445.6745407198</v>
      </c>
      <c r="D21" s="42">
        <v>3881.4441697597999</v>
      </c>
      <c r="E21" s="43">
        <v>-435.76962903999998</v>
      </c>
      <c r="F21" s="42">
        <v>735.16731888000004</v>
      </c>
      <c r="G21" s="43">
        <v>115.57609077999999</v>
      </c>
      <c r="H21" s="42">
        <v>300.79422216</v>
      </c>
      <c r="I21" s="43">
        <v>-185.21813138000002</v>
      </c>
      <c r="J21" s="42">
        <v>0</v>
      </c>
      <c r="K21" s="748"/>
      <c r="L21" s="43">
        <v>3294.1067054600007</v>
      </c>
      <c r="M21" s="44">
        <v>2346.5936323900005</v>
      </c>
      <c r="N21" s="41">
        <v>947.51307307000013</v>
      </c>
      <c r="O21" s="44">
        <v>0</v>
      </c>
      <c r="P21" s="41">
        <v>2.26494968</v>
      </c>
      <c r="Q21" s="44">
        <v>0</v>
      </c>
      <c r="R21" s="41">
        <v>0</v>
      </c>
      <c r="S21" s="44">
        <v>0</v>
      </c>
      <c r="T21" s="41">
        <v>1025.50049319</v>
      </c>
      <c r="U21" s="44">
        <v>-25.45419795019977</v>
      </c>
    </row>
    <row r="22" spans="1:21">
      <c r="A22" s="10"/>
      <c r="B22" s="11" t="s">
        <v>109</v>
      </c>
      <c r="C22" s="41">
        <v>3128.1287941284795</v>
      </c>
      <c r="D22" s="42">
        <v>3582.3900682404796</v>
      </c>
      <c r="E22" s="43">
        <v>-454.26127411199997</v>
      </c>
      <c r="F22" s="42">
        <v>773.56605048000006</v>
      </c>
      <c r="G22" s="43">
        <v>114.83444133</v>
      </c>
      <c r="H22" s="42">
        <v>300.78497333000001</v>
      </c>
      <c r="I22" s="43">
        <v>-185.95053200000001</v>
      </c>
      <c r="J22" s="42">
        <v>0</v>
      </c>
      <c r="K22" s="748"/>
      <c r="L22" s="43">
        <v>3011.3556813300002</v>
      </c>
      <c r="M22" s="44">
        <v>2062.0124522600004</v>
      </c>
      <c r="N22" s="41">
        <v>949.34322907000001</v>
      </c>
      <c r="O22" s="44">
        <v>0</v>
      </c>
      <c r="P22" s="41">
        <v>1.01206211</v>
      </c>
      <c r="Q22" s="44">
        <v>0</v>
      </c>
      <c r="R22" s="41">
        <v>0</v>
      </c>
      <c r="S22" s="44">
        <v>0</v>
      </c>
      <c r="T22" s="41">
        <v>1029.9997785200001</v>
      </c>
      <c r="U22" s="44">
        <v>-25.838236021519993</v>
      </c>
    </row>
    <row r="23" spans="1:21">
      <c r="A23" s="10"/>
      <c r="B23" s="11" t="s">
        <v>110</v>
      </c>
      <c r="C23" s="41">
        <v>3276.8983620384001</v>
      </c>
      <c r="D23" s="42">
        <v>3690.8196056608999</v>
      </c>
      <c r="E23" s="43">
        <v>-413.92124362249996</v>
      </c>
      <c r="F23" s="42">
        <v>705.50331916000016</v>
      </c>
      <c r="G23" s="43">
        <v>115.16643579999999</v>
      </c>
      <c r="H23" s="42">
        <v>300.78355188</v>
      </c>
      <c r="I23" s="43">
        <v>-185.61711608000002</v>
      </c>
      <c r="J23" s="42">
        <v>0</v>
      </c>
      <c r="K23" s="748"/>
      <c r="L23" s="43">
        <v>3090.6355994099999</v>
      </c>
      <c r="M23" s="44">
        <v>2125.1717992499998</v>
      </c>
      <c r="N23" s="41">
        <v>965.46380016000012</v>
      </c>
      <c r="O23" s="44">
        <v>0</v>
      </c>
      <c r="P23" s="41">
        <v>1.03760823</v>
      </c>
      <c r="Q23" s="44">
        <v>0</v>
      </c>
      <c r="R23" s="41">
        <v>0</v>
      </c>
      <c r="S23" s="44">
        <v>0</v>
      </c>
      <c r="T23" s="41">
        <v>1029.4654023200001</v>
      </c>
      <c r="U23" s="44">
        <v>-23.570492961599804</v>
      </c>
    </row>
    <row r="24" spans="1:21">
      <c r="A24" s="10"/>
      <c r="B24" s="11" t="s">
        <v>111</v>
      </c>
      <c r="C24" s="41">
        <v>3340.64980411848</v>
      </c>
      <c r="D24" s="42">
        <v>3750.4545973954801</v>
      </c>
      <c r="E24" s="43">
        <v>-409.80479327699999</v>
      </c>
      <c r="F24" s="42">
        <v>569.89511585000002</v>
      </c>
      <c r="G24" s="43">
        <v>116.62482639000004</v>
      </c>
      <c r="H24" s="42">
        <v>300.80325128000004</v>
      </c>
      <c r="I24" s="43">
        <v>-184.17842489</v>
      </c>
      <c r="J24" s="42">
        <v>0</v>
      </c>
      <c r="K24" s="748"/>
      <c r="L24" s="43">
        <v>3015.66758433</v>
      </c>
      <c r="M24" s="44">
        <v>2109.1354985899998</v>
      </c>
      <c r="N24" s="41">
        <v>906.53208574000007</v>
      </c>
      <c r="O24" s="44">
        <v>0</v>
      </c>
      <c r="P24" s="41">
        <v>0.64000813000000001</v>
      </c>
      <c r="Q24" s="44">
        <v>0</v>
      </c>
      <c r="R24" s="41">
        <v>0</v>
      </c>
      <c r="S24" s="44">
        <v>0</v>
      </c>
      <c r="T24" s="41">
        <v>1034.25371367</v>
      </c>
      <c r="U24" s="44">
        <v>-23.391559771519916</v>
      </c>
    </row>
    <row r="25" spans="1:21">
      <c r="A25" s="10"/>
      <c r="B25" s="11" t="s">
        <v>112</v>
      </c>
      <c r="C25" s="41">
        <v>3214.7970768767195</v>
      </c>
      <c r="D25" s="42">
        <v>3652.2978144972194</v>
      </c>
      <c r="E25" s="43">
        <v>-437.50073762049999</v>
      </c>
      <c r="F25" s="42">
        <v>468.14572414000003</v>
      </c>
      <c r="G25" s="43">
        <v>115.83287796000002</v>
      </c>
      <c r="H25" s="42">
        <v>300.75559171000003</v>
      </c>
      <c r="I25" s="43">
        <v>-184.92271375000001</v>
      </c>
      <c r="J25" s="42">
        <v>0</v>
      </c>
      <c r="K25" s="748"/>
      <c r="L25" s="43">
        <v>2782.28018918</v>
      </c>
      <c r="M25" s="44">
        <v>1848.6791668400001</v>
      </c>
      <c r="N25" s="41">
        <v>933.60102233999999</v>
      </c>
      <c r="O25" s="44">
        <v>0</v>
      </c>
      <c r="P25" s="41">
        <v>0.82019284000000003</v>
      </c>
      <c r="Q25" s="44">
        <v>0</v>
      </c>
      <c r="R25" s="41">
        <v>0</v>
      </c>
      <c r="S25" s="44">
        <v>0</v>
      </c>
      <c r="T25" s="41">
        <v>1038.24262</v>
      </c>
      <c r="U25" s="44">
        <v>-22.567323043279877</v>
      </c>
    </row>
    <row r="26" spans="1:21">
      <c r="A26" s="10"/>
      <c r="B26" s="11" t="s">
        <v>113</v>
      </c>
      <c r="C26" s="41">
        <v>3121.7844765166396</v>
      </c>
      <c r="D26" s="42">
        <v>3534.3835608076397</v>
      </c>
      <c r="E26" s="43">
        <v>-412.599084291</v>
      </c>
      <c r="F26" s="42">
        <v>362.26938223000002</v>
      </c>
      <c r="G26" s="43">
        <v>116.43838431</v>
      </c>
      <c r="H26" s="42">
        <v>300.93224156000002</v>
      </c>
      <c r="I26" s="43">
        <v>-184.49385725000002</v>
      </c>
      <c r="J26" s="42">
        <v>0</v>
      </c>
      <c r="K26" s="748"/>
      <c r="L26" s="43">
        <v>2585.6869949000002</v>
      </c>
      <c r="M26" s="44">
        <v>1623.7157459800001</v>
      </c>
      <c r="N26" s="41">
        <v>961.97124891999999</v>
      </c>
      <c r="O26" s="44">
        <v>0</v>
      </c>
      <c r="P26" s="41">
        <v>2.0411649000000001</v>
      </c>
      <c r="Q26" s="44">
        <v>0</v>
      </c>
      <c r="R26" s="41">
        <v>0</v>
      </c>
      <c r="S26" s="44">
        <v>0</v>
      </c>
      <c r="T26" s="41">
        <v>1036.4904885399999</v>
      </c>
      <c r="U26" s="44">
        <v>-23.726405283359941</v>
      </c>
    </row>
    <row r="27" spans="1:21">
      <c r="A27" s="10"/>
      <c r="B27" s="11" t="s">
        <v>114</v>
      </c>
      <c r="C27" s="41">
        <v>3387.9264966783999</v>
      </c>
      <c r="D27" s="42">
        <v>3901.6171619358997</v>
      </c>
      <c r="E27" s="43">
        <v>-513.69066525749997</v>
      </c>
      <c r="F27" s="42">
        <v>862.93372153000007</v>
      </c>
      <c r="G27" s="43">
        <v>-173.37961857000002</v>
      </c>
      <c r="H27" s="42">
        <v>1.01457888</v>
      </c>
      <c r="I27" s="43">
        <v>-174.39419745000001</v>
      </c>
      <c r="J27" s="42">
        <v>0</v>
      </c>
      <c r="K27" s="748"/>
      <c r="L27" s="43">
        <v>3049.2570830300001</v>
      </c>
      <c r="M27" s="44">
        <v>1610.3918332499998</v>
      </c>
      <c r="N27" s="41">
        <v>1438.8652497800001</v>
      </c>
      <c r="O27" s="44">
        <v>0</v>
      </c>
      <c r="P27" s="41">
        <v>2.1499839600000001</v>
      </c>
      <c r="Q27" s="44">
        <v>0</v>
      </c>
      <c r="R27" s="41">
        <v>0</v>
      </c>
      <c r="S27" s="44">
        <v>0</v>
      </c>
      <c r="T27" s="41">
        <v>1048.9642276299999</v>
      </c>
      <c r="U27" s="44">
        <v>-22.890694981600042</v>
      </c>
    </row>
    <row r="28" spans="1:21">
      <c r="A28" s="10"/>
      <c r="B28" s="11" t="s">
        <v>115</v>
      </c>
      <c r="C28" s="41">
        <v>3458.1119485478498</v>
      </c>
      <c r="D28" s="42">
        <v>3859.7739744493497</v>
      </c>
      <c r="E28" s="43">
        <v>-401.66202590149999</v>
      </c>
      <c r="F28" s="42">
        <v>416.33584031999999</v>
      </c>
      <c r="G28" s="43">
        <v>-173.33623679999999</v>
      </c>
      <c r="H28" s="42">
        <v>0.89509664999999994</v>
      </c>
      <c r="I28" s="43">
        <v>-174.23133344999999</v>
      </c>
      <c r="J28" s="42">
        <v>0</v>
      </c>
      <c r="K28" s="748"/>
      <c r="L28" s="43">
        <v>2670.62066757</v>
      </c>
      <c r="M28" s="44">
        <v>1499.1996628100001</v>
      </c>
      <c r="N28" s="41">
        <v>1171.42100476</v>
      </c>
      <c r="O28" s="44">
        <v>0</v>
      </c>
      <c r="P28" s="41">
        <v>1.3929147099999999</v>
      </c>
      <c r="Q28" s="44">
        <v>0</v>
      </c>
      <c r="R28" s="41">
        <v>0</v>
      </c>
      <c r="S28" s="44">
        <v>0</v>
      </c>
      <c r="T28" s="41">
        <v>1050.67298071</v>
      </c>
      <c r="U28" s="44">
        <v>-21.575010922149989</v>
      </c>
    </row>
    <row r="29" spans="1:21">
      <c r="A29" s="12"/>
      <c r="B29" s="13" t="s">
        <v>116</v>
      </c>
      <c r="C29" s="45">
        <v>3632.2703918577995</v>
      </c>
      <c r="D29" s="46">
        <v>4034.7454685897997</v>
      </c>
      <c r="E29" s="47">
        <v>-402.47507673199999</v>
      </c>
      <c r="F29" s="46">
        <v>423.45622731999998</v>
      </c>
      <c r="G29" s="47">
        <v>-69.517994709999982</v>
      </c>
      <c r="H29" s="46">
        <v>0.80319788999999997</v>
      </c>
      <c r="I29" s="47">
        <v>-70.321192599999989</v>
      </c>
      <c r="J29" s="46">
        <v>0</v>
      </c>
      <c r="K29" s="749"/>
      <c r="L29" s="47">
        <v>2887.0074831100001</v>
      </c>
      <c r="M29" s="48">
        <v>1627.0516923399998</v>
      </c>
      <c r="N29" s="45">
        <v>1259.95579077</v>
      </c>
      <c r="O29" s="48">
        <v>0</v>
      </c>
      <c r="P29" s="45">
        <v>1.12970343</v>
      </c>
      <c r="Q29" s="48">
        <v>0</v>
      </c>
      <c r="R29" s="45">
        <v>0</v>
      </c>
      <c r="S29" s="48">
        <v>0</v>
      </c>
      <c r="T29" s="45">
        <v>1159.4886831599999</v>
      </c>
      <c r="U29" s="48">
        <v>-61.417245232200038</v>
      </c>
    </row>
    <row r="30" spans="1:21">
      <c r="A30" s="219">
        <v>2013</v>
      </c>
      <c r="B30" s="220" t="s">
        <v>105</v>
      </c>
      <c r="C30" s="229">
        <v>3642.7953399878998</v>
      </c>
      <c r="D30" s="226">
        <v>4185.2294313688999</v>
      </c>
      <c r="E30" s="227">
        <v>-542.43409138099992</v>
      </c>
      <c r="F30" s="226">
        <v>767.93379588000005</v>
      </c>
      <c r="G30" s="227">
        <v>-77.082694169999996</v>
      </c>
      <c r="H30" s="226">
        <v>0.80654316000000015</v>
      </c>
      <c r="I30" s="227">
        <v>-77.88923733</v>
      </c>
      <c r="J30" s="226">
        <v>0</v>
      </c>
      <c r="K30" s="230"/>
      <c r="L30" s="226">
        <v>3208.5158969100003</v>
      </c>
      <c r="M30" s="225">
        <v>1621.20849008</v>
      </c>
      <c r="N30" s="228">
        <v>1587.30740683</v>
      </c>
      <c r="O30" s="225">
        <v>0</v>
      </c>
      <c r="P30" s="228">
        <v>0.23812221999999997</v>
      </c>
      <c r="Q30" s="225">
        <v>0</v>
      </c>
      <c r="R30" s="228">
        <v>0</v>
      </c>
      <c r="S30" s="225">
        <v>0</v>
      </c>
      <c r="T30" s="228">
        <v>1149.2121414800001</v>
      </c>
      <c r="U30" s="231">
        <v>-24.319718912099987</v>
      </c>
    </row>
    <row r="31" spans="1:21">
      <c r="A31" s="10"/>
      <c r="B31" s="11" t="s">
        <v>106</v>
      </c>
      <c r="C31" s="49">
        <v>3850.4715357878499</v>
      </c>
      <c r="D31" s="42">
        <v>4288.08575652935</v>
      </c>
      <c r="E31" s="43">
        <v>-437.61422074149993</v>
      </c>
      <c r="F31" s="42">
        <v>341.72350325999997</v>
      </c>
      <c r="G31" s="43">
        <v>-77.064923039999996</v>
      </c>
      <c r="H31" s="42">
        <v>0.82688576999999996</v>
      </c>
      <c r="I31" s="43">
        <v>-77.891808810000001</v>
      </c>
      <c r="J31" s="42">
        <v>0</v>
      </c>
      <c r="K31" s="29"/>
      <c r="L31" s="42">
        <v>2991.6558302699996</v>
      </c>
      <c r="M31" s="41">
        <v>1127.8270506799997</v>
      </c>
      <c r="N31" s="44">
        <v>1863.8287795900001</v>
      </c>
      <c r="O31" s="41">
        <v>0</v>
      </c>
      <c r="P31" s="44">
        <v>0.29488685999999997</v>
      </c>
      <c r="Q31" s="41">
        <v>0</v>
      </c>
      <c r="R31" s="44">
        <v>0</v>
      </c>
      <c r="S31" s="41">
        <v>0</v>
      </c>
      <c r="T31" s="44">
        <v>1149.2610062900001</v>
      </c>
      <c r="U31" s="50">
        <v>-26.081607412150085</v>
      </c>
    </row>
    <row r="32" spans="1:21">
      <c r="A32" s="12"/>
      <c r="B32" s="13" t="s">
        <v>107</v>
      </c>
      <c r="C32" s="51">
        <v>3950.2598966480004</v>
      </c>
      <c r="D32" s="46">
        <v>4439.2149678080004</v>
      </c>
      <c r="E32" s="47">
        <v>-488.95507115999999</v>
      </c>
      <c r="F32" s="46">
        <v>299.54775059000002</v>
      </c>
      <c r="G32" s="47">
        <v>-76.994341379999995</v>
      </c>
      <c r="H32" s="46">
        <v>0.89746743000000007</v>
      </c>
      <c r="I32" s="47">
        <v>-77.891808810000001</v>
      </c>
      <c r="J32" s="46">
        <v>0</v>
      </c>
      <c r="K32" s="52"/>
      <c r="L32" s="46">
        <v>3049.6751703299997</v>
      </c>
      <c r="M32" s="45">
        <v>1129.05858281</v>
      </c>
      <c r="N32" s="48">
        <v>1920.6165875199999</v>
      </c>
      <c r="O32" s="45">
        <v>0</v>
      </c>
      <c r="P32" s="48">
        <v>0.44955007999999996</v>
      </c>
      <c r="Q32" s="45">
        <v>0</v>
      </c>
      <c r="R32" s="48">
        <v>0</v>
      </c>
      <c r="S32" s="45">
        <v>0</v>
      </c>
      <c r="T32" s="48">
        <v>1149.0402788900001</v>
      </c>
      <c r="U32" s="53">
        <v>-26.351693441999998</v>
      </c>
    </row>
    <row r="33" spans="1:21">
      <c r="C33" s="32"/>
      <c r="D33" s="32"/>
      <c r="E33" s="32"/>
      <c r="F33" s="32"/>
      <c r="G33" s="32"/>
      <c r="H33" s="32"/>
      <c r="I33" s="32"/>
      <c r="J33" s="32"/>
      <c r="K33" s="32"/>
      <c r="L33" s="32"/>
      <c r="M33" s="32"/>
      <c r="N33" s="32"/>
      <c r="O33" s="32"/>
      <c r="P33" s="32"/>
      <c r="Q33" s="32"/>
      <c r="R33" s="32"/>
      <c r="S33" s="32"/>
      <c r="T33" s="32"/>
      <c r="U33" s="32"/>
    </row>
    <row r="34" spans="1:21">
      <c r="A34" s="6" t="s">
        <v>144</v>
      </c>
      <c r="C34" s="32"/>
      <c r="D34" s="32"/>
      <c r="E34" s="32"/>
      <c r="F34" s="32"/>
      <c r="G34" s="32"/>
      <c r="H34" s="32"/>
      <c r="I34" s="32"/>
      <c r="J34" s="32"/>
      <c r="K34" s="32"/>
      <c r="L34" s="32"/>
      <c r="M34" s="32"/>
      <c r="N34" s="32"/>
      <c r="O34" s="32"/>
      <c r="P34" s="32"/>
      <c r="Q34" s="32"/>
      <c r="R34" s="32"/>
      <c r="S34" s="32"/>
      <c r="T34" s="32"/>
      <c r="U34" s="32"/>
    </row>
    <row r="35" spans="1:21">
      <c r="A35" s="6" t="s">
        <v>145</v>
      </c>
      <c r="B35" s="6" t="s">
        <v>146</v>
      </c>
    </row>
    <row r="36" spans="1:21">
      <c r="A36" s="6" t="s">
        <v>147</v>
      </c>
      <c r="B36" s="6" t="s">
        <v>148</v>
      </c>
    </row>
    <row r="37" spans="1:21">
      <c r="A37" s="6" t="s">
        <v>149</v>
      </c>
      <c r="B37" s="6" t="s">
        <v>150</v>
      </c>
    </row>
    <row r="38" spans="1:21">
      <c r="A38" s="6" t="s">
        <v>151</v>
      </c>
      <c r="B38" s="6" t="s">
        <v>152</v>
      </c>
    </row>
    <row r="39" spans="1:21">
      <c r="A39" s="6" t="s">
        <v>153</v>
      </c>
      <c r="B39" s="6" t="s">
        <v>154</v>
      </c>
    </row>
    <row r="40" spans="1:21">
      <c r="A40" s="6" t="s">
        <v>155</v>
      </c>
      <c r="B40" s="6" t="s">
        <v>156</v>
      </c>
    </row>
    <row r="42" spans="1:21">
      <c r="A42" s="6" t="s">
        <v>119</v>
      </c>
    </row>
    <row r="43" spans="1:21">
      <c r="A43" s="6" t="s">
        <v>157</v>
      </c>
    </row>
    <row r="45" spans="1:21">
      <c r="A45" s="6" t="s">
        <v>126</v>
      </c>
    </row>
  </sheetData>
  <mergeCells count="14">
    <mergeCell ref="U4:U5"/>
    <mergeCell ref="A3:U3"/>
    <mergeCell ref="C4:E4"/>
    <mergeCell ref="G4:I4"/>
    <mergeCell ref="L4:O4"/>
    <mergeCell ref="P4:P5"/>
    <mergeCell ref="Q4:Q5"/>
    <mergeCell ref="R4:R5"/>
    <mergeCell ref="S4:S5"/>
    <mergeCell ref="T4:T5"/>
    <mergeCell ref="A4:B5"/>
    <mergeCell ref="F4:F5"/>
    <mergeCell ref="J4:J5"/>
    <mergeCell ref="K4:K29"/>
  </mergeCells>
  <pageMargins left="0.7" right="0.7" top="0.75" bottom="0.75" header="0.3" footer="0.3"/>
  <pageSetup scale="85" fitToHeight="0" orientation="landscape" verticalDpi="598"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99"/>
  <sheetViews>
    <sheetView zoomScaleNormal="100" workbookViewId="0">
      <pane xSplit="2" ySplit="5" topLeftCell="C181" activePane="bottomRight" state="frozen"/>
      <selection activeCell="O180" sqref="O180"/>
      <selection pane="topRight" activeCell="O180" sqref="O180"/>
      <selection pane="bottomLeft" activeCell="O180" sqref="O180"/>
      <selection pane="bottomRight" activeCell="C188" sqref="C188"/>
    </sheetView>
  </sheetViews>
  <sheetFormatPr defaultColWidth="9.1796875" defaultRowHeight="13"/>
  <cols>
    <col min="1" max="1" width="6.81640625" style="65" customWidth="1"/>
    <col min="2" max="2" width="8.81640625" style="65" customWidth="1"/>
    <col min="3" max="8" width="16.453125" style="65" customWidth="1"/>
    <col min="9" max="16384" width="9.1796875" style="65"/>
  </cols>
  <sheetData>
    <row r="1" spans="1:8" s="70" customFormat="1" ht="15.5">
      <c r="A1" s="709" t="s">
        <v>158</v>
      </c>
      <c r="B1" s="709"/>
      <c r="C1" s="709"/>
      <c r="D1" s="709"/>
      <c r="E1" s="709"/>
      <c r="F1" s="709"/>
      <c r="G1" s="709"/>
      <c r="H1" s="65"/>
    </row>
    <row r="2" spans="1:8" ht="15.75" customHeight="1">
      <c r="A2" s="733" t="s">
        <v>97</v>
      </c>
      <c r="B2" s="733"/>
      <c r="C2" s="733"/>
      <c r="D2" s="733"/>
      <c r="E2" s="733"/>
      <c r="F2" s="733"/>
      <c r="G2" s="733"/>
      <c r="H2" s="733"/>
    </row>
    <row r="3" spans="1:8" s="68" customFormat="1" ht="21" customHeight="1">
      <c r="A3" s="717" t="s">
        <v>98</v>
      </c>
      <c r="B3" s="718"/>
      <c r="C3" s="753" t="s">
        <v>159</v>
      </c>
      <c r="D3" s="756" t="s">
        <v>122</v>
      </c>
      <c r="E3" s="757"/>
      <c r="F3" s="757"/>
      <c r="G3" s="757"/>
      <c r="H3" s="758"/>
    </row>
    <row r="4" spans="1:8" s="68" customFormat="1" ht="22.5" customHeight="1">
      <c r="A4" s="751"/>
      <c r="B4" s="752"/>
      <c r="C4" s="754"/>
      <c r="D4" s="756" t="s">
        <v>160</v>
      </c>
      <c r="E4" s="757"/>
      <c r="F4" s="758"/>
      <c r="G4" s="717" t="s">
        <v>123</v>
      </c>
      <c r="H4" s="750" t="s">
        <v>102</v>
      </c>
    </row>
    <row r="5" spans="1:8" s="68" customFormat="1" ht="28">
      <c r="A5" s="719"/>
      <c r="B5" s="720"/>
      <c r="C5" s="755"/>
      <c r="D5" s="281" t="s">
        <v>161</v>
      </c>
      <c r="E5" s="281" t="s">
        <v>125</v>
      </c>
      <c r="F5" s="282" t="s">
        <v>102</v>
      </c>
      <c r="G5" s="719"/>
      <c r="H5" s="722"/>
    </row>
    <row r="6" spans="1:8" ht="14">
      <c r="A6" s="239">
        <v>2011</v>
      </c>
      <c r="B6" s="247" t="s">
        <v>105</v>
      </c>
      <c r="C6" s="690">
        <v>1002.21</v>
      </c>
      <c r="D6" s="691">
        <v>840.32</v>
      </c>
      <c r="E6" s="691">
        <v>2786.58</v>
      </c>
      <c r="F6" s="691">
        <f>D6+E6</f>
        <v>3626.9</v>
      </c>
      <c r="G6" s="691">
        <v>8704.3700000000008</v>
      </c>
      <c r="H6" s="692">
        <f>F6+G6</f>
        <v>12331.27</v>
      </c>
    </row>
    <row r="7" spans="1:8" ht="14">
      <c r="A7" s="239"/>
      <c r="B7" s="251" t="s">
        <v>106</v>
      </c>
      <c r="C7" s="690">
        <v>979.24</v>
      </c>
      <c r="D7" s="692">
        <v>804.56</v>
      </c>
      <c r="E7" s="692">
        <v>2860.59</v>
      </c>
      <c r="F7" s="692">
        <f>D7+E7</f>
        <v>3665.15</v>
      </c>
      <c r="G7" s="692">
        <v>8977.3700000000008</v>
      </c>
      <c r="H7" s="692">
        <f>F7+G7</f>
        <v>12642.52</v>
      </c>
    </row>
    <row r="8" spans="1:8" ht="14">
      <c r="A8" s="239"/>
      <c r="B8" s="251" t="s">
        <v>107</v>
      </c>
      <c r="C8" s="690">
        <v>949.85</v>
      </c>
      <c r="D8" s="692">
        <v>796.19</v>
      </c>
      <c r="E8" s="692">
        <v>3141.52</v>
      </c>
      <c r="F8" s="692">
        <f t="shared" ref="F8:F16" si="0">D8+E8</f>
        <v>3937.71</v>
      </c>
      <c r="G8" s="692">
        <v>9047.31</v>
      </c>
      <c r="H8" s="692">
        <f t="shared" ref="H8:H16" si="1">F8+G8</f>
        <v>12985.02</v>
      </c>
    </row>
    <row r="9" spans="1:8" ht="14">
      <c r="A9" s="239"/>
      <c r="B9" s="251" t="s">
        <v>108</v>
      </c>
      <c r="C9" s="690">
        <v>972.85</v>
      </c>
      <c r="D9" s="692">
        <v>819.85</v>
      </c>
      <c r="E9" s="692">
        <v>3095.67</v>
      </c>
      <c r="F9" s="692">
        <f t="shared" si="0"/>
        <v>3915.52</v>
      </c>
      <c r="G9" s="692">
        <v>9303.4699999999993</v>
      </c>
      <c r="H9" s="692">
        <f t="shared" si="1"/>
        <v>13218.99</v>
      </c>
    </row>
    <row r="10" spans="1:8" ht="14">
      <c r="A10" s="239"/>
      <c r="B10" s="251" t="s">
        <v>109</v>
      </c>
      <c r="C10" s="690">
        <v>971.09</v>
      </c>
      <c r="D10" s="692">
        <v>816.51</v>
      </c>
      <c r="E10" s="692">
        <v>3362.44</v>
      </c>
      <c r="F10" s="692">
        <f t="shared" si="0"/>
        <v>4178.95</v>
      </c>
      <c r="G10" s="692">
        <v>9279.59</v>
      </c>
      <c r="H10" s="692">
        <f t="shared" si="1"/>
        <v>13458.54</v>
      </c>
    </row>
    <row r="11" spans="1:8" ht="14">
      <c r="A11" s="239"/>
      <c r="B11" s="251" t="s">
        <v>110</v>
      </c>
      <c r="C11" s="690">
        <v>942.14</v>
      </c>
      <c r="D11" s="692">
        <v>788.43</v>
      </c>
      <c r="E11" s="692">
        <v>3070.29</v>
      </c>
      <c r="F11" s="692">
        <f t="shared" si="0"/>
        <v>3858.72</v>
      </c>
      <c r="G11" s="692">
        <v>9361.08</v>
      </c>
      <c r="H11" s="692">
        <f t="shared" si="1"/>
        <v>13219.8</v>
      </c>
    </row>
    <row r="12" spans="1:8" ht="14">
      <c r="A12" s="239"/>
      <c r="B12" s="251" t="s">
        <v>111</v>
      </c>
      <c r="C12" s="690">
        <v>953.03</v>
      </c>
      <c r="D12" s="692">
        <v>789.61</v>
      </c>
      <c r="E12" s="692">
        <v>2533.44</v>
      </c>
      <c r="F12" s="692">
        <f t="shared" si="0"/>
        <v>3323.05</v>
      </c>
      <c r="G12" s="692">
        <v>9836.33</v>
      </c>
      <c r="H12" s="692">
        <f t="shared" si="1"/>
        <v>13159.380000000001</v>
      </c>
    </row>
    <row r="13" spans="1:8" ht="14">
      <c r="A13" s="239"/>
      <c r="B13" s="251" t="s">
        <v>112</v>
      </c>
      <c r="C13" s="690">
        <v>970.83</v>
      </c>
      <c r="D13" s="692">
        <v>805.28</v>
      </c>
      <c r="E13" s="692">
        <v>2610.2600000000002</v>
      </c>
      <c r="F13" s="692">
        <f t="shared" si="0"/>
        <v>3415.54</v>
      </c>
      <c r="G13" s="692">
        <v>9663.58</v>
      </c>
      <c r="H13" s="692">
        <f t="shared" si="1"/>
        <v>13079.119999999999</v>
      </c>
    </row>
    <row r="14" spans="1:8" ht="14">
      <c r="A14" s="239"/>
      <c r="B14" s="251" t="s">
        <v>113</v>
      </c>
      <c r="C14" s="690">
        <v>915.2</v>
      </c>
      <c r="D14" s="692">
        <v>764.74</v>
      </c>
      <c r="E14" s="692">
        <v>2917.47</v>
      </c>
      <c r="F14" s="692">
        <f t="shared" si="0"/>
        <v>3682.21</v>
      </c>
      <c r="G14" s="692">
        <v>9386.07</v>
      </c>
      <c r="H14" s="692">
        <f t="shared" si="1"/>
        <v>13068.279999999999</v>
      </c>
    </row>
    <row r="15" spans="1:8" ht="14">
      <c r="A15" s="239"/>
      <c r="B15" s="251" t="s">
        <v>114</v>
      </c>
      <c r="C15" s="690">
        <v>1002.47</v>
      </c>
      <c r="D15" s="692">
        <v>767.54</v>
      </c>
      <c r="E15" s="692">
        <v>3340.92</v>
      </c>
      <c r="F15" s="692">
        <f t="shared" si="0"/>
        <v>4108.46</v>
      </c>
      <c r="G15" s="692">
        <v>9898.56</v>
      </c>
      <c r="H15" s="692">
        <f t="shared" si="1"/>
        <v>14007.02</v>
      </c>
    </row>
    <row r="16" spans="1:8" ht="14">
      <c r="A16" s="239"/>
      <c r="B16" s="251" t="s">
        <v>115</v>
      </c>
      <c r="C16" s="690">
        <v>1003.65</v>
      </c>
      <c r="D16" s="692">
        <v>772.54</v>
      </c>
      <c r="E16" s="692">
        <v>3190.91</v>
      </c>
      <c r="F16" s="692">
        <f t="shared" si="0"/>
        <v>3963.45</v>
      </c>
      <c r="G16" s="692">
        <v>9920.51</v>
      </c>
      <c r="H16" s="692">
        <f t="shared" si="1"/>
        <v>13883.96</v>
      </c>
    </row>
    <row r="17" spans="1:8" ht="14">
      <c r="A17" s="240"/>
      <c r="B17" s="252" t="s">
        <v>116</v>
      </c>
      <c r="C17" s="693">
        <v>1689.99</v>
      </c>
      <c r="D17" s="694">
        <v>831.06</v>
      </c>
      <c r="E17" s="694">
        <v>3402.43</v>
      </c>
      <c r="F17" s="694">
        <f>D17+E17</f>
        <v>4233.49</v>
      </c>
      <c r="G17" s="694">
        <v>9603.7000000000007</v>
      </c>
      <c r="H17" s="694">
        <f>F17+G17</f>
        <v>13837.19</v>
      </c>
    </row>
    <row r="18" spans="1:8" ht="14">
      <c r="A18" s="239">
        <v>2012</v>
      </c>
      <c r="B18" s="251" t="s">
        <v>105</v>
      </c>
      <c r="C18" s="690">
        <v>997.84</v>
      </c>
      <c r="D18" s="692">
        <v>820.16</v>
      </c>
      <c r="E18" s="692">
        <v>4938.08</v>
      </c>
      <c r="F18" s="692">
        <f>D18+E18</f>
        <v>5758.24</v>
      </c>
      <c r="G18" s="692">
        <v>9070.93</v>
      </c>
      <c r="H18" s="692">
        <f>F18+G18</f>
        <v>14829.17</v>
      </c>
    </row>
    <row r="19" spans="1:8" ht="14">
      <c r="A19" s="239"/>
      <c r="B19" s="251" t="s">
        <v>106</v>
      </c>
      <c r="C19" s="690">
        <v>1125.7</v>
      </c>
      <c r="D19" s="692">
        <v>807.77</v>
      </c>
      <c r="E19" s="692">
        <v>3210.9</v>
      </c>
      <c r="F19" s="692">
        <f>D19+E19</f>
        <v>4018.67</v>
      </c>
      <c r="G19" s="692">
        <v>9797.2099999999991</v>
      </c>
      <c r="H19" s="692">
        <f>F19+G19</f>
        <v>13815.88</v>
      </c>
    </row>
    <row r="20" spans="1:8" ht="14">
      <c r="A20" s="239"/>
      <c r="B20" s="251" t="s">
        <v>107</v>
      </c>
      <c r="C20" s="690">
        <v>1238.8499999999999</v>
      </c>
      <c r="D20" s="692">
        <v>798.77</v>
      </c>
      <c r="E20" s="692">
        <v>3686.72</v>
      </c>
      <c r="F20" s="692">
        <f t="shared" ref="F20:F28" si="2">D20+E20</f>
        <v>4485.49</v>
      </c>
      <c r="G20" s="692">
        <v>10009.11</v>
      </c>
      <c r="H20" s="692">
        <f t="shared" ref="H20:H28" si="3">F20+G20</f>
        <v>14494.6</v>
      </c>
    </row>
    <row r="21" spans="1:8" ht="14">
      <c r="A21" s="239"/>
      <c r="B21" s="251" t="s">
        <v>108</v>
      </c>
      <c r="C21" s="690">
        <v>2346.59</v>
      </c>
      <c r="D21" s="692">
        <v>790.93</v>
      </c>
      <c r="E21" s="692">
        <v>4301.37</v>
      </c>
      <c r="F21" s="692">
        <f t="shared" si="2"/>
        <v>5092.3</v>
      </c>
      <c r="G21" s="692">
        <v>9338.9500000000007</v>
      </c>
      <c r="H21" s="692">
        <f t="shared" si="3"/>
        <v>14431.25</v>
      </c>
    </row>
    <row r="22" spans="1:8" ht="14">
      <c r="A22" s="239"/>
      <c r="B22" s="251" t="s">
        <v>109</v>
      </c>
      <c r="C22" s="690">
        <v>2062.0100000000002</v>
      </c>
      <c r="D22" s="692">
        <v>845.09</v>
      </c>
      <c r="E22" s="692">
        <v>3508.7</v>
      </c>
      <c r="F22" s="692">
        <f t="shared" si="2"/>
        <v>4353.79</v>
      </c>
      <c r="G22" s="692">
        <v>9762.34</v>
      </c>
      <c r="H22" s="692">
        <f t="shared" si="3"/>
        <v>14116.130000000001</v>
      </c>
    </row>
    <row r="23" spans="1:8" ht="14">
      <c r="A23" s="239"/>
      <c r="B23" s="251" t="s">
        <v>110</v>
      </c>
      <c r="C23" s="690">
        <v>2125.17</v>
      </c>
      <c r="D23" s="692">
        <v>886.91</v>
      </c>
      <c r="E23" s="692">
        <v>3480.08</v>
      </c>
      <c r="F23" s="692">
        <f t="shared" si="2"/>
        <v>4366.99</v>
      </c>
      <c r="G23" s="692">
        <v>9440.75</v>
      </c>
      <c r="H23" s="692">
        <f t="shared" si="3"/>
        <v>13807.74</v>
      </c>
    </row>
    <row r="24" spans="1:8" ht="14">
      <c r="A24" s="239"/>
      <c r="B24" s="251" t="s">
        <v>111</v>
      </c>
      <c r="C24" s="690">
        <v>2109.14</v>
      </c>
      <c r="D24" s="692">
        <v>896.84</v>
      </c>
      <c r="E24" s="692">
        <v>3764.23</v>
      </c>
      <c r="F24" s="692">
        <f t="shared" si="2"/>
        <v>4661.07</v>
      </c>
      <c r="G24" s="692">
        <v>9629.68</v>
      </c>
      <c r="H24" s="692">
        <f t="shared" si="3"/>
        <v>14290.75</v>
      </c>
    </row>
    <row r="25" spans="1:8" ht="14">
      <c r="A25" s="239"/>
      <c r="B25" s="251" t="s">
        <v>112</v>
      </c>
      <c r="C25" s="690">
        <v>1848.68</v>
      </c>
      <c r="D25" s="692">
        <v>1086.67</v>
      </c>
      <c r="E25" s="692">
        <v>3596.58</v>
      </c>
      <c r="F25" s="692">
        <f t="shared" si="2"/>
        <v>4683.25</v>
      </c>
      <c r="G25" s="692">
        <v>9465.9500000000007</v>
      </c>
      <c r="H25" s="692">
        <f t="shared" si="3"/>
        <v>14149.2</v>
      </c>
    </row>
    <row r="26" spans="1:8" ht="14">
      <c r="A26" s="239"/>
      <c r="B26" s="251" t="s">
        <v>113</v>
      </c>
      <c r="C26" s="690">
        <v>1623.72</v>
      </c>
      <c r="D26" s="692">
        <v>960.67</v>
      </c>
      <c r="E26" s="692">
        <v>3523.2</v>
      </c>
      <c r="F26" s="692">
        <f t="shared" si="2"/>
        <v>4483.87</v>
      </c>
      <c r="G26" s="692">
        <v>9524.06</v>
      </c>
      <c r="H26" s="692">
        <f t="shared" si="3"/>
        <v>14007.93</v>
      </c>
    </row>
    <row r="27" spans="1:8" ht="14">
      <c r="A27" s="239"/>
      <c r="B27" s="251" t="s">
        <v>114</v>
      </c>
      <c r="C27" s="690">
        <v>1610.39</v>
      </c>
      <c r="D27" s="692">
        <v>945.73</v>
      </c>
      <c r="E27" s="692">
        <v>3642.35</v>
      </c>
      <c r="F27" s="692">
        <f t="shared" si="2"/>
        <v>4588.08</v>
      </c>
      <c r="G27" s="692">
        <v>10314.58</v>
      </c>
      <c r="H27" s="692">
        <f t="shared" si="3"/>
        <v>14902.66</v>
      </c>
    </row>
    <row r="28" spans="1:8" ht="14">
      <c r="A28" s="239"/>
      <c r="B28" s="251" t="s">
        <v>115</v>
      </c>
      <c r="C28" s="690">
        <v>1499.2</v>
      </c>
      <c r="D28" s="692">
        <v>854.49</v>
      </c>
      <c r="E28" s="692">
        <v>3869.83</v>
      </c>
      <c r="F28" s="692">
        <f t="shared" si="2"/>
        <v>4724.32</v>
      </c>
      <c r="G28" s="692">
        <v>9719.23</v>
      </c>
      <c r="H28" s="692">
        <f t="shared" si="3"/>
        <v>14443.55</v>
      </c>
    </row>
    <row r="29" spans="1:8" ht="14">
      <c r="A29" s="239"/>
      <c r="B29" s="251" t="s">
        <v>116</v>
      </c>
      <c r="C29" s="690">
        <v>1627.05</v>
      </c>
      <c r="D29" s="692">
        <v>926.02</v>
      </c>
      <c r="E29" s="692">
        <v>3367.36</v>
      </c>
      <c r="F29" s="692">
        <f>D29+E29</f>
        <v>4293.38</v>
      </c>
      <c r="G29" s="692">
        <v>9668.2099999999991</v>
      </c>
      <c r="H29" s="692">
        <f>F29+G29</f>
        <v>13961.59</v>
      </c>
    </row>
    <row r="30" spans="1:8" ht="14">
      <c r="A30" s="238">
        <v>2013</v>
      </c>
      <c r="B30" s="247" t="s">
        <v>105</v>
      </c>
      <c r="C30" s="695">
        <v>1621.21</v>
      </c>
      <c r="D30" s="695">
        <v>891.64</v>
      </c>
      <c r="E30" s="695">
        <v>3029.84</v>
      </c>
      <c r="F30" s="695">
        <f>D30+E30</f>
        <v>3921.48</v>
      </c>
      <c r="G30" s="695">
        <v>10085.14</v>
      </c>
      <c r="H30" s="695">
        <f>F30+G30</f>
        <v>14006.619999999999</v>
      </c>
    </row>
    <row r="31" spans="1:8" ht="14">
      <c r="A31" s="239"/>
      <c r="B31" s="251" t="s">
        <v>106</v>
      </c>
      <c r="C31" s="690">
        <v>1127.83</v>
      </c>
      <c r="D31" s="690">
        <v>944.43</v>
      </c>
      <c r="E31" s="690">
        <v>3439.27</v>
      </c>
      <c r="F31" s="690">
        <f>D31+E31</f>
        <v>4383.7</v>
      </c>
      <c r="G31" s="690">
        <v>10001.27</v>
      </c>
      <c r="H31" s="690">
        <f>F31+G31</f>
        <v>14384.970000000001</v>
      </c>
    </row>
    <row r="32" spans="1:8" ht="14">
      <c r="A32" s="239"/>
      <c r="B32" s="251" t="s">
        <v>107</v>
      </c>
      <c r="C32" s="690">
        <v>1129.06</v>
      </c>
      <c r="D32" s="690">
        <v>947.1</v>
      </c>
      <c r="E32" s="690">
        <v>3215.77</v>
      </c>
      <c r="F32" s="690">
        <f t="shared" ref="F32:F40" si="4">D32+E32</f>
        <v>4162.87</v>
      </c>
      <c r="G32" s="690">
        <v>9899.08</v>
      </c>
      <c r="H32" s="690">
        <f t="shared" ref="H32:H40" si="5">F32+G32</f>
        <v>14061.95</v>
      </c>
    </row>
    <row r="33" spans="1:8" ht="14">
      <c r="A33" s="239"/>
      <c r="B33" s="251" t="s">
        <v>108</v>
      </c>
      <c r="C33" s="690">
        <v>1129.77</v>
      </c>
      <c r="D33" s="690">
        <v>936.08</v>
      </c>
      <c r="E33" s="690">
        <v>3423.46</v>
      </c>
      <c r="F33" s="690">
        <f t="shared" si="4"/>
        <v>4359.54</v>
      </c>
      <c r="G33" s="690">
        <v>9966.2999999999993</v>
      </c>
      <c r="H33" s="690">
        <f t="shared" si="5"/>
        <v>14325.84</v>
      </c>
    </row>
    <row r="34" spans="1:8" ht="14">
      <c r="A34" s="239"/>
      <c r="B34" s="251" t="s">
        <v>109</v>
      </c>
      <c r="C34" s="690">
        <v>1146.26</v>
      </c>
      <c r="D34" s="690">
        <v>957.28</v>
      </c>
      <c r="E34" s="690">
        <v>3560.78</v>
      </c>
      <c r="F34" s="690">
        <f t="shared" si="4"/>
        <v>4518.0600000000004</v>
      </c>
      <c r="G34" s="690">
        <v>9937.89</v>
      </c>
      <c r="H34" s="690">
        <f t="shared" si="5"/>
        <v>14455.95</v>
      </c>
    </row>
    <row r="35" spans="1:8" ht="14">
      <c r="A35" s="239"/>
      <c r="B35" s="251" t="s">
        <v>110</v>
      </c>
      <c r="C35" s="690">
        <v>1140.3900000000001</v>
      </c>
      <c r="D35" s="690">
        <v>967.79</v>
      </c>
      <c r="E35" s="690">
        <v>3458.96</v>
      </c>
      <c r="F35" s="690">
        <f t="shared" si="4"/>
        <v>4426.75</v>
      </c>
      <c r="G35" s="690">
        <v>9871.41</v>
      </c>
      <c r="H35" s="690">
        <f t="shared" si="5"/>
        <v>14298.16</v>
      </c>
    </row>
    <row r="36" spans="1:8" ht="14">
      <c r="A36" s="239"/>
      <c r="B36" s="251" t="s">
        <v>117</v>
      </c>
      <c r="C36" s="690">
        <v>1161.6199999999999</v>
      </c>
      <c r="D36" s="690">
        <v>962.76</v>
      </c>
      <c r="E36" s="690">
        <v>3734.39</v>
      </c>
      <c r="F36" s="690">
        <f t="shared" si="4"/>
        <v>4697.1499999999996</v>
      </c>
      <c r="G36" s="690">
        <v>9859.32</v>
      </c>
      <c r="H36" s="690">
        <f t="shared" si="5"/>
        <v>14556.47</v>
      </c>
    </row>
    <row r="37" spans="1:8" ht="14">
      <c r="A37" s="239"/>
      <c r="B37" s="251" t="s">
        <v>112</v>
      </c>
      <c r="C37" s="690">
        <v>1093.46</v>
      </c>
      <c r="D37" s="690">
        <v>921.48</v>
      </c>
      <c r="E37" s="690">
        <v>3561.96</v>
      </c>
      <c r="F37" s="690">
        <f t="shared" si="4"/>
        <v>4483.4400000000005</v>
      </c>
      <c r="G37" s="690">
        <v>10244.129999999999</v>
      </c>
      <c r="H37" s="690">
        <f t="shared" si="5"/>
        <v>14727.57</v>
      </c>
    </row>
    <row r="38" spans="1:8" ht="14">
      <c r="A38" s="239"/>
      <c r="B38" s="251" t="s">
        <v>113</v>
      </c>
      <c r="C38" s="690">
        <v>1095.92</v>
      </c>
      <c r="D38" s="690">
        <v>904.87</v>
      </c>
      <c r="E38" s="690">
        <v>3675.94</v>
      </c>
      <c r="F38" s="690">
        <f t="shared" si="4"/>
        <v>4580.8100000000004</v>
      </c>
      <c r="G38" s="690">
        <v>9886.83</v>
      </c>
      <c r="H38" s="690">
        <f t="shared" si="5"/>
        <v>14467.64</v>
      </c>
    </row>
    <row r="39" spans="1:8" ht="14">
      <c r="A39" s="239"/>
      <c r="B39" s="251" t="s">
        <v>114</v>
      </c>
      <c r="C39" s="690">
        <v>1090.96</v>
      </c>
      <c r="D39" s="690">
        <v>910.25</v>
      </c>
      <c r="E39" s="690">
        <v>3744.42</v>
      </c>
      <c r="F39" s="690">
        <f t="shared" si="4"/>
        <v>4654.67</v>
      </c>
      <c r="G39" s="690">
        <v>10087.34</v>
      </c>
      <c r="H39" s="690">
        <f t="shared" si="5"/>
        <v>14742.01</v>
      </c>
    </row>
    <row r="40" spans="1:8" ht="14">
      <c r="A40" s="239"/>
      <c r="B40" s="251" t="s">
        <v>115</v>
      </c>
      <c r="C40" s="690">
        <v>1106.08</v>
      </c>
      <c r="D40" s="690">
        <v>926.48</v>
      </c>
      <c r="E40" s="690">
        <v>3581.21</v>
      </c>
      <c r="F40" s="690">
        <f t="shared" si="4"/>
        <v>4507.6900000000005</v>
      </c>
      <c r="G40" s="690">
        <v>9873.6200000000008</v>
      </c>
      <c r="H40" s="690">
        <f t="shared" si="5"/>
        <v>14381.310000000001</v>
      </c>
    </row>
    <row r="41" spans="1:8" ht="14">
      <c r="A41" s="240"/>
      <c r="B41" s="252" t="s">
        <v>116</v>
      </c>
      <c r="C41" s="693">
        <v>1219.73</v>
      </c>
      <c r="D41" s="693">
        <v>977.52</v>
      </c>
      <c r="E41" s="693">
        <v>3487.06</v>
      </c>
      <c r="F41" s="693">
        <f>D41+E41</f>
        <v>4464.58</v>
      </c>
      <c r="G41" s="693">
        <v>9701.73</v>
      </c>
      <c r="H41" s="693">
        <f>F41+G41</f>
        <v>14166.31</v>
      </c>
    </row>
    <row r="42" spans="1:8" ht="14">
      <c r="A42" s="238">
        <v>2014</v>
      </c>
      <c r="B42" s="272" t="s">
        <v>105</v>
      </c>
      <c r="C42" s="691">
        <v>1183.1199999999999</v>
      </c>
      <c r="D42" s="696">
        <v>982.67</v>
      </c>
      <c r="E42" s="691">
        <v>3615.96</v>
      </c>
      <c r="F42" s="696">
        <f>D42+E42</f>
        <v>4598.63</v>
      </c>
      <c r="G42" s="691">
        <v>9866.35</v>
      </c>
      <c r="H42" s="695">
        <f>F42+G42</f>
        <v>14464.98</v>
      </c>
    </row>
    <row r="43" spans="1:8" ht="14">
      <c r="A43" s="239"/>
      <c r="B43" s="273" t="s">
        <v>106</v>
      </c>
      <c r="C43" s="692">
        <v>1169.69</v>
      </c>
      <c r="D43" s="697">
        <v>961.16</v>
      </c>
      <c r="E43" s="692">
        <v>4005.14</v>
      </c>
      <c r="F43" s="697">
        <f>D43+E43</f>
        <v>4966.3</v>
      </c>
      <c r="G43" s="692">
        <v>9348.0499999999993</v>
      </c>
      <c r="H43" s="690">
        <f>F43+G43</f>
        <v>14314.349999999999</v>
      </c>
    </row>
    <row r="44" spans="1:8" ht="14">
      <c r="A44" s="239"/>
      <c r="B44" s="273" t="s">
        <v>107</v>
      </c>
      <c r="C44" s="692">
        <v>1165.98</v>
      </c>
      <c r="D44" s="697">
        <v>960.62</v>
      </c>
      <c r="E44" s="692">
        <v>4105.3900000000003</v>
      </c>
      <c r="F44" s="697">
        <f t="shared" ref="F44:F52" si="6">D44+E44</f>
        <v>5066.01</v>
      </c>
      <c r="G44" s="692">
        <v>9275.2999999999993</v>
      </c>
      <c r="H44" s="690">
        <f t="shared" ref="H44:H52" si="7">F44+G44</f>
        <v>14341.31</v>
      </c>
    </row>
    <row r="45" spans="1:8" ht="14">
      <c r="A45" s="239"/>
      <c r="B45" s="273" t="s">
        <v>108</v>
      </c>
      <c r="C45" s="692">
        <v>1145.43</v>
      </c>
      <c r="D45" s="697">
        <v>950.83</v>
      </c>
      <c r="E45" s="692">
        <v>3523.92</v>
      </c>
      <c r="F45" s="697">
        <f t="shared" si="6"/>
        <v>4474.75</v>
      </c>
      <c r="G45" s="692">
        <v>10019.700000000001</v>
      </c>
      <c r="H45" s="690">
        <f t="shared" si="7"/>
        <v>14494.45</v>
      </c>
    </row>
    <row r="46" spans="1:8" ht="14">
      <c r="A46" s="239"/>
      <c r="B46" s="273" t="s">
        <v>109</v>
      </c>
      <c r="C46" s="692">
        <v>1156.6099999999999</v>
      </c>
      <c r="D46" s="697">
        <v>972.58</v>
      </c>
      <c r="E46" s="692">
        <v>3656.15</v>
      </c>
      <c r="F46" s="697">
        <f t="shared" si="6"/>
        <v>4628.7300000000005</v>
      </c>
      <c r="G46" s="692">
        <v>9757.56</v>
      </c>
      <c r="H46" s="690">
        <f t="shared" si="7"/>
        <v>14386.29</v>
      </c>
    </row>
    <row r="47" spans="1:8" ht="14">
      <c r="A47" s="239"/>
      <c r="B47" s="273" t="s">
        <v>110</v>
      </c>
      <c r="C47" s="692">
        <v>1202.1199999999999</v>
      </c>
      <c r="D47" s="697">
        <v>1028.57</v>
      </c>
      <c r="E47" s="692">
        <v>3502.95</v>
      </c>
      <c r="F47" s="697">
        <f t="shared" si="6"/>
        <v>4531.5199999999995</v>
      </c>
      <c r="G47" s="692">
        <v>10778.32</v>
      </c>
      <c r="H47" s="690">
        <f t="shared" si="7"/>
        <v>15309.84</v>
      </c>
    </row>
    <row r="48" spans="1:8" ht="14">
      <c r="A48" s="239"/>
      <c r="B48" s="273" t="s">
        <v>117</v>
      </c>
      <c r="C48" s="692">
        <v>1245.45</v>
      </c>
      <c r="D48" s="697">
        <v>1025.98</v>
      </c>
      <c r="E48" s="692">
        <v>3607.53</v>
      </c>
      <c r="F48" s="697">
        <f t="shared" si="6"/>
        <v>4633.51</v>
      </c>
      <c r="G48" s="692">
        <v>10524.54</v>
      </c>
      <c r="H48" s="690">
        <f t="shared" si="7"/>
        <v>15158.050000000001</v>
      </c>
    </row>
    <row r="49" spans="1:8" ht="14">
      <c r="A49" s="239"/>
      <c r="B49" s="273" t="s">
        <v>112</v>
      </c>
      <c r="C49" s="692">
        <v>1165.5</v>
      </c>
      <c r="D49" s="697">
        <v>996.76</v>
      </c>
      <c r="E49" s="692">
        <v>3609.46</v>
      </c>
      <c r="F49" s="697">
        <f t="shared" si="6"/>
        <v>4606.22</v>
      </c>
      <c r="G49" s="692">
        <v>9759.9599999999991</v>
      </c>
      <c r="H49" s="690">
        <f t="shared" si="7"/>
        <v>14366.18</v>
      </c>
    </row>
    <row r="50" spans="1:8" ht="14">
      <c r="A50" s="239"/>
      <c r="B50" s="273" t="s">
        <v>113</v>
      </c>
      <c r="C50" s="692">
        <v>1186.72</v>
      </c>
      <c r="D50" s="697">
        <v>983.06</v>
      </c>
      <c r="E50" s="692">
        <v>3458.41</v>
      </c>
      <c r="F50" s="697">
        <f t="shared" si="6"/>
        <v>4441.4699999999993</v>
      </c>
      <c r="G50" s="692">
        <v>9858.25</v>
      </c>
      <c r="H50" s="690">
        <f t="shared" si="7"/>
        <v>14299.72</v>
      </c>
    </row>
    <row r="51" spans="1:8" ht="14">
      <c r="A51" s="239"/>
      <c r="B51" s="273" t="s">
        <v>114</v>
      </c>
      <c r="C51" s="692">
        <v>1155.6500000000001</v>
      </c>
      <c r="D51" s="697">
        <v>974.01</v>
      </c>
      <c r="E51" s="692">
        <v>3391.04</v>
      </c>
      <c r="F51" s="697">
        <f t="shared" si="6"/>
        <v>4365.05</v>
      </c>
      <c r="G51" s="692">
        <v>10040.129999999999</v>
      </c>
      <c r="H51" s="690">
        <f t="shared" si="7"/>
        <v>14405.18</v>
      </c>
    </row>
    <row r="52" spans="1:8" ht="14">
      <c r="A52" s="239"/>
      <c r="B52" s="273" t="s">
        <v>115</v>
      </c>
      <c r="C52" s="692">
        <v>1148.3900000000001</v>
      </c>
      <c r="D52" s="697">
        <v>984.54</v>
      </c>
      <c r="E52" s="692">
        <v>3533.79</v>
      </c>
      <c r="F52" s="697">
        <f t="shared" si="6"/>
        <v>4518.33</v>
      </c>
      <c r="G52" s="692">
        <v>9980.3799999999992</v>
      </c>
      <c r="H52" s="690">
        <f t="shared" si="7"/>
        <v>14498.71</v>
      </c>
    </row>
    <row r="53" spans="1:8" ht="14">
      <c r="A53" s="240"/>
      <c r="B53" s="274" t="s">
        <v>116</v>
      </c>
      <c r="C53" s="694">
        <v>1271.71</v>
      </c>
      <c r="D53" s="698">
        <v>1021.04</v>
      </c>
      <c r="E53" s="694">
        <v>3375.08</v>
      </c>
      <c r="F53" s="698">
        <f>D53+E53</f>
        <v>4396.12</v>
      </c>
      <c r="G53" s="694">
        <v>10226.5</v>
      </c>
      <c r="H53" s="693">
        <f>F53+G53</f>
        <v>14622.619999999999</v>
      </c>
    </row>
    <row r="54" spans="1:8" ht="14">
      <c r="A54" s="239">
        <v>2015</v>
      </c>
      <c r="B54" s="273" t="s">
        <v>105</v>
      </c>
      <c r="C54" s="692">
        <v>1183.99</v>
      </c>
      <c r="D54" s="697">
        <v>1002.6</v>
      </c>
      <c r="E54" s="692">
        <v>3387.56</v>
      </c>
      <c r="F54" s="697">
        <f>D54+E54</f>
        <v>4390.16</v>
      </c>
      <c r="G54" s="691">
        <v>10068.32</v>
      </c>
      <c r="H54" s="690">
        <f>F54+G54</f>
        <v>14458.48</v>
      </c>
    </row>
    <row r="55" spans="1:8" ht="14">
      <c r="A55" s="239"/>
      <c r="B55" s="251" t="s">
        <v>106</v>
      </c>
      <c r="C55" s="692">
        <v>1228.76</v>
      </c>
      <c r="D55" s="692">
        <v>1027.96</v>
      </c>
      <c r="E55" s="692">
        <v>4023.09</v>
      </c>
      <c r="F55" s="692">
        <f>D55+E55</f>
        <v>5051.05</v>
      </c>
      <c r="G55" s="692">
        <v>10133.36</v>
      </c>
      <c r="H55" s="692">
        <f>F55+G55</f>
        <v>15184.41</v>
      </c>
    </row>
    <row r="56" spans="1:8" ht="14">
      <c r="A56" s="239"/>
      <c r="B56" s="251" t="s">
        <v>107</v>
      </c>
      <c r="C56" s="692">
        <v>1204.8599999999999</v>
      </c>
      <c r="D56" s="692">
        <v>1013.09</v>
      </c>
      <c r="E56" s="692">
        <v>4022.83</v>
      </c>
      <c r="F56" s="692">
        <f t="shared" ref="F56:F64" si="8">D56+E56</f>
        <v>5035.92</v>
      </c>
      <c r="G56" s="692">
        <v>10117.36</v>
      </c>
      <c r="H56" s="692">
        <f t="shared" ref="H56:H64" si="9">F56+G56</f>
        <v>15153.28</v>
      </c>
    </row>
    <row r="57" spans="1:8" ht="14">
      <c r="A57" s="239"/>
      <c r="B57" s="273" t="s">
        <v>108</v>
      </c>
      <c r="C57" s="690">
        <v>1193.3800000000001</v>
      </c>
      <c r="D57" s="692">
        <v>994.35</v>
      </c>
      <c r="E57" s="692">
        <v>3536.38</v>
      </c>
      <c r="F57" s="692">
        <f t="shared" si="8"/>
        <v>4530.7300000000005</v>
      </c>
      <c r="G57" s="692">
        <v>10046.07</v>
      </c>
      <c r="H57" s="692">
        <f t="shared" si="9"/>
        <v>14576.8</v>
      </c>
    </row>
    <row r="58" spans="1:8" ht="14">
      <c r="A58" s="239"/>
      <c r="B58" s="273" t="s">
        <v>109</v>
      </c>
      <c r="C58" s="690">
        <v>1225.27</v>
      </c>
      <c r="D58" s="692">
        <v>1014.87</v>
      </c>
      <c r="E58" s="692">
        <v>3491.45</v>
      </c>
      <c r="F58" s="692">
        <f t="shared" si="8"/>
        <v>4506.32</v>
      </c>
      <c r="G58" s="692">
        <v>9833.26</v>
      </c>
      <c r="H58" s="692">
        <f t="shared" si="9"/>
        <v>14339.58</v>
      </c>
    </row>
    <row r="59" spans="1:8" ht="14">
      <c r="A59" s="239"/>
      <c r="B59" s="251" t="s">
        <v>110</v>
      </c>
      <c r="C59" s="692">
        <v>1234.6500000000001</v>
      </c>
      <c r="D59" s="692">
        <v>1012.12</v>
      </c>
      <c r="E59" s="692">
        <v>3615.77</v>
      </c>
      <c r="F59" s="692">
        <f t="shared" si="8"/>
        <v>4627.8900000000003</v>
      </c>
      <c r="G59" s="692">
        <v>9791.86</v>
      </c>
      <c r="H59" s="692">
        <f t="shared" si="9"/>
        <v>14419.75</v>
      </c>
    </row>
    <row r="60" spans="1:8" ht="14">
      <c r="A60" s="284"/>
      <c r="B60" s="273" t="s">
        <v>117</v>
      </c>
      <c r="C60" s="690">
        <v>1214.4000000000001</v>
      </c>
      <c r="D60" s="692">
        <v>980.48</v>
      </c>
      <c r="E60" s="692">
        <v>3646.41</v>
      </c>
      <c r="F60" s="692">
        <f t="shared" si="8"/>
        <v>4626.8899999999994</v>
      </c>
      <c r="G60" s="692">
        <v>9911.1299999999992</v>
      </c>
      <c r="H60" s="692">
        <f t="shared" si="9"/>
        <v>14538.019999999999</v>
      </c>
    </row>
    <row r="61" spans="1:8" ht="14">
      <c r="A61" s="284"/>
      <c r="B61" s="273" t="s">
        <v>112</v>
      </c>
      <c r="C61" s="690">
        <v>1203.97</v>
      </c>
      <c r="D61" s="692">
        <v>976.13</v>
      </c>
      <c r="E61" s="692">
        <v>3598.12</v>
      </c>
      <c r="F61" s="692">
        <f t="shared" si="8"/>
        <v>4574.25</v>
      </c>
      <c r="G61" s="692">
        <v>9868.43</v>
      </c>
      <c r="H61" s="692">
        <f t="shared" si="9"/>
        <v>14442.68</v>
      </c>
    </row>
    <row r="62" spans="1:8" ht="14">
      <c r="A62" s="284"/>
      <c r="B62" s="251" t="s">
        <v>113</v>
      </c>
      <c r="C62" s="690">
        <v>1193.3699999999999</v>
      </c>
      <c r="D62" s="692">
        <v>973.6</v>
      </c>
      <c r="E62" s="692">
        <v>4411.42</v>
      </c>
      <c r="F62" s="692">
        <f t="shared" si="8"/>
        <v>5385.02</v>
      </c>
      <c r="G62" s="692">
        <v>9885.18</v>
      </c>
      <c r="H62" s="692">
        <f t="shared" si="9"/>
        <v>15270.2</v>
      </c>
    </row>
    <row r="63" spans="1:8" ht="14">
      <c r="A63" s="284"/>
      <c r="B63" s="273" t="s">
        <v>114</v>
      </c>
      <c r="C63" s="690">
        <v>1203.49</v>
      </c>
      <c r="D63" s="690">
        <v>992.34</v>
      </c>
      <c r="E63" s="690">
        <v>3616.1</v>
      </c>
      <c r="F63" s="692">
        <f t="shared" si="8"/>
        <v>4608.4399999999996</v>
      </c>
      <c r="G63" s="690">
        <v>10055.08</v>
      </c>
      <c r="H63" s="692">
        <f t="shared" si="9"/>
        <v>14663.52</v>
      </c>
    </row>
    <row r="64" spans="1:8" ht="14">
      <c r="A64" s="284"/>
      <c r="B64" s="273" t="s">
        <v>115</v>
      </c>
      <c r="C64" s="690">
        <v>1237.3900000000001</v>
      </c>
      <c r="D64" s="690">
        <v>1004.86</v>
      </c>
      <c r="E64" s="690">
        <v>3357.09</v>
      </c>
      <c r="F64" s="692">
        <f t="shared" si="8"/>
        <v>4361.95</v>
      </c>
      <c r="G64" s="690">
        <v>10143.530000000001</v>
      </c>
      <c r="H64" s="692">
        <f t="shared" si="9"/>
        <v>14505.48</v>
      </c>
    </row>
    <row r="65" spans="1:8" ht="14">
      <c r="A65" s="239"/>
      <c r="B65" s="251" t="s">
        <v>116</v>
      </c>
      <c r="C65" s="690">
        <v>1321.95</v>
      </c>
      <c r="D65" s="690">
        <v>1072.8699999999999</v>
      </c>
      <c r="E65" s="690">
        <v>3606.68</v>
      </c>
      <c r="F65" s="690">
        <f>D65+E65</f>
        <v>4679.5499999999993</v>
      </c>
      <c r="G65" s="690">
        <v>9685.81</v>
      </c>
      <c r="H65" s="690">
        <f>F65+G65</f>
        <v>14365.359999999999</v>
      </c>
    </row>
    <row r="66" spans="1:8" ht="14">
      <c r="A66" s="238">
        <v>2016</v>
      </c>
      <c r="B66" s="272" t="s">
        <v>105</v>
      </c>
      <c r="C66" s="691">
        <v>1269.76</v>
      </c>
      <c r="D66" s="696">
        <v>1067.67</v>
      </c>
      <c r="E66" s="691">
        <v>3421.06</v>
      </c>
      <c r="F66" s="696">
        <f>D66+E66</f>
        <v>4488.7299999999996</v>
      </c>
      <c r="G66" s="691">
        <v>9967.6</v>
      </c>
      <c r="H66" s="695">
        <f>F66+G66</f>
        <v>14456.33</v>
      </c>
    </row>
    <row r="67" spans="1:8" ht="14">
      <c r="A67" s="239"/>
      <c r="B67" s="273" t="s">
        <v>106</v>
      </c>
      <c r="C67" s="692">
        <v>1275.55</v>
      </c>
      <c r="D67" s="697">
        <v>1061.23</v>
      </c>
      <c r="E67" s="692">
        <v>3268.03</v>
      </c>
      <c r="F67" s="697">
        <f>D67+E67</f>
        <v>4329.26</v>
      </c>
      <c r="G67" s="692">
        <v>10259.76</v>
      </c>
      <c r="H67" s="690">
        <f>F67+G67</f>
        <v>14589.02</v>
      </c>
    </row>
    <row r="68" spans="1:8" ht="14">
      <c r="A68" s="239"/>
      <c r="B68" s="273" t="s">
        <v>107</v>
      </c>
      <c r="C68" s="692">
        <v>1285.3699999999999</v>
      </c>
      <c r="D68" s="697">
        <v>1061.9100000000001</v>
      </c>
      <c r="E68" s="692">
        <v>3387.21</v>
      </c>
      <c r="F68" s="697">
        <f t="shared" ref="F68:F76" si="10">D68+E68</f>
        <v>4449.12</v>
      </c>
      <c r="G68" s="692">
        <v>10105.15</v>
      </c>
      <c r="H68" s="690">
        <f t="shared" ref="H68:H76" si="11">F68+G68</f>
        <v>14554.27</v>
      </c>
    </row>
    <row r="69" spans="1:8" ht="14">
      <c r="A69" s="239"/>
      <c r="B69" s="273" t="s">
        <v>108</v>
      </c>
      <c r="C69" s="692">
        <v>1315.24</v>
      </c>
      <c r="D69" s="697">
        <v>1089.3699999999999</v>
      </c>
      <c r="E69" s="692">
        <v>3361.36</v>
      </c>
      <c r="F69" s="697">
        <f t="shared" si="10"/>
        <v>4450.7299999999996</v>
      </c>
      <c r="G69" s="692">
        <v>9944.8700000000008</v>
      </c>
      <c r="H69" s="690">
        <f t="shared" si="11"/>
        <v>14395.6</v>
      </c>
    </row>
    <row r="70" spans="1:8" ht="14">
      <c r="A70" s="239"/>
      <c r="B70" s="273" t="s">
        <v>109</v>
      </c>
      <c r="C70" s="692">
        <v>1317.82</v>
      </c>
      <c r="D70" s="697">
        <v>1096.74</v>
      </c>
      <c r="E70" s="692">
        <v>3477.63</v>
      </c>
      <c r="F70" s="697">
        <f t="shared" si="10"/>
        <v>4574.37</v>
      </c>
      <c r="G70" s="692">
        <v>9901.48</v>
      </c>
      <c r="H70" s="690">
        <f t="shared" si="11"/>
        <v>14475.849999999999</v>
      </c>
    </row>
    <row r="71" spans="1:8" ht="14">
      <c r="A71" s="239"/>
      <c r="B71" s="273" t="s">
        <v>110</v>
      </c>
      <c r="C71" s="692">
        <v>1328.53</v>
      </c>
      <c r="D71" s="697">
        <v>1094.6300000000001</v>
      </c>
      <c r="E71" s="692">
        <v>3464.59</v>
      </c>
      <c r="F71" s="697">
        <f t="shared" si="10"/>
        <v>4559.22</v>
      </c>
      <c r="G71" s="692">
        <v>10010</v>
      </c>
      <c r="H71" s="690">
        <f t="shared" si="11"/>
        <v>14569.220000000001</v>
      </c>
    </row>
    <row r="72" spans="1:8" ht="14">
      <c r="A72" s="239"/>
      <c r="B72" s="273" t="s">
        <v>117</v>
      </c>
      <c r="C72" s="692">
        <v>1302.1600000000001</v>
      </c>
      <c r="D72" s="697">
        <v>1065.06</v>
      </c>
      <c r="E72" s="692">
        <v>3590.75</v>
      </c>
      <c r="F72" s="697">
        <f t="shared" si="10"/>
        <v>4655.8099999999995</v>
      </c>
      <c r="G72" s="692">
        <v>9758.84</v>
      </c>
      <c r="H72" s="690">
        <f t="shared" si="11"/>
        <v>14414.65</v>
      </c>
    </row>
    <row r="73" spans="1:8" ht="14">
      <c r="A73" s="239"/>
      <c r="B73" s="273" t="s">
        <v>112</v>
      </c>
      <c r="C73" s="692">
        <v>1268.93</v>
      </c>
      <c r="D73" s="697">
        <v>1054.03</v>
      </c>
      <c r="E73" s="692">
        <v>3532.56</v>
      </c>
      <c r="F73" s="697">
        <f t="shared" si="10"/>
        <v>4586.59</v>
      </c>
      <c r="G73" s="692">
        <v>9555.5400000000009</v>
      </c>
      <c r="H73" s="690">
        <f t="shared" si="11"/>
        <v>14142.130000000001</v>
      </c>
    </row>
    <row r="74" spans="1:8" ht="14">
      <c r="A74" s="239"/>
      <c r="B74" s="273" t="s">
        <v>113</v>
      </c>
      <c r="C74" s="692">
        <v>1282.71</v>
      </c>
      <c r="D74" s="697">
        <v>1055.5899999999999</v>
      </c>
      <c r="E74" s="692">
        <v>3474.44</v>
      </c>
      <c r="F74" s="697">
        <f t="shared" si="10"/>
        <v>4530.03</v>
      </c>
      <c r="G74" s="692">
        <v>9690.1200000000008</v>
      </c>
      <c r="H74" s="690">
        <f t="shared" si="11"/>
        <v>14220.150000000001</v>
      </c>
    </row>
    <row r="75" spans="1:8" ht="14">
      <c r="A75" s="239"/>
      <c r="B75" s="273" t="s">
        <v>114</v>
      </c>
      <c r="C75" s="692">
        <v>1273.25</v>
      </c>
      <c r="D75" s="697">
        <v>1058.04</v>
      </c>
      <c r="E75" s="692">
        <v>3396.96</v>
      </c>
      <c r="F75" s="697">
        <f t="shared" si="10"/>
        <v>4455</v>
      </c>
      <c r="G75" s="692">
        <v>9630.39</v>
      </c>
      <c r="H75" s="690">
        <f t="shared" si="11"/>
        <v>14085.39</v>
      </c>
    </row>
    <row r="76" spans="1:8" ht="14">
      <c r="A76" s="239"/>
      <c r="B76" s="273" t="s">
        <v>115</v>
      </c>
      <c r="C76" s="692">
        <v>1273.92</v>
      </c>
      <c r="D76" s="697">
        <v>1072.07</v>
      </c>
      <c r="E76" s="692">
        <v>3542.05</v>
      </c>
      <c r="F76" s="697">
        <f t="shared" si="10"/>
        <v>4614.12</v>
      </c>
      <c r="G76" s="692">
        <v>9604.85</v>
      </c>
      <c r="H76" s="690">
        <f t="shared" si="11"/>
        <v>14218.970000000001</v>
      </c>
    </row>
    <row r="77" spans="1:8" ht="14">
      <c r="A77" s="240"/>
      <c r="B77" s="274" t="s">
        <v>116</v>
      </c>
      <c r="C77" s="694">
        <v>1380.81</v>
      </c>
      <c r="D77" s="698">
        <v>1135.25</v>
      </c>
      <c r="E77" s="694">
        <v>3539.62</v>
      </c>
      <c r="F77" s="698">
        <f>D77+E77</f>
        <v>4674.87</v>
      </c>
      <c r="G77" s="694">
        <v>9907.2999999999993</v>
      </c>
      <c r="H77" s="693">
        <f>F77+G77</f>
        <v>14582.169999999998</v>
      </c>
    </row>
    <row r="78" spans="1:8" ht="14">
      <c r="A78" s="238">
        <v>2017</v>
      </c>
      <c r="B78" s="272" t="s">
        <v>105</v>
      </c>
      <c r="C78" s="691">
        <v>1335.8</v>
      </c>
      <c r="D78" s="696">
        <v>1128.8800000000001</v>
      </c>
      <c r="E78" s="691">
        <v>3357.41</v>
      </c>
      <c r="F78" s="696">
        <f>D78+E78</f>
        <v>4486.29</v>
      </c>
      <c r="G78" s="691">
        <v>9761.75</v>
      </c>
      <c r="H78" s="695">
        <f>F78+G78</f>
        <v>14248.04</v>
      </c>
    </row>
    <row r="79" spans="1:8" ht="14">
      <c r="A79" s="239"/>
      <c r="B79" s="273" t="s">
        <v>106</v>
      </c>
      <c r="C79" s="692">
        <v>1282.99</v>
      </c>
      <c r="D79" s="697">
        <v>1115.77</v>
      </c>
      <c r="E79" s="692">
        <v>3303.24</v>
      </c>
      <c r="F79" s="697">
        <f>D79+E79</f>
        <v>4419.01</v>
      </c>
      <c r="G79" s="699">
        <v>9678.75</v>
      </c>
      <c r="H79" s="690">
        <f>F79+G79</f>
        <v>14097.76</v>
      </c>
    </row>
    <row r="80" spans="1:8" ht="14">
      <c r="A80" s="239"/>
      <c r="B80" s="273" t="s">
        <v>107</v>
      </c>
      <c r="C80" s="692">
        <v>1262.6500000000001</v>
      </c>
      <c r="D80" s="697">
        <v>1088.31</v>
      </c>
      <c r="E80" s="692">
        <v>3364.62</v>
      </c>
      <c r="F80" s="697">
        <f>D80+E80</f>
        <v>4452.93</v>
      </c>
      <c r="G80" s="692">
        <v>9716.52</v>
      </c>
      <c r="H80" s="690">
        <f>F80+G80</f>
        <v>14169.45</v>
      </c>
    </row>
    <row r="81" spans="1:8" ht="14">
      <c r="A81" s="239"/>
      <c r="B81" s="273" t="s">
        <v>108</v>
      </c>
      <c r="C81" s="692">
        <v>1220.49</v>
      </c>
      <c r="D81" s="697">
        <v>1035.04</v>
      </c>
      <c r="E81" s="692">
        <v>3350.74</v>
      </c>
      <c r="F81" s="697">
        <f>D81+E81</f>
        <v>4385.78</v>
      </c>
      <c r="G81" s="699">
        <v>9823.65</v>
      </c>
      <c r="H81" s="690">
        <f t="shared" ref="H81:H144" si="12">F81+G81</f>
        <v>14209.43</v>
      </c>
    </row>
    <row r="82" spans="1:8" ht="14">
      <c r="A82" s="239"/>
      <c r="B82" s="273" t="s">
        <v>109</v>
      </c>
      <c r="C82" s="692">
        <v>1235.03</v>
      </c>
      <c r="D82" s="697">
        <v>1040.3800000000001</v>
      </c>
      <c r="E82" s="692">
        <v>3212.68</v>
      </c>
      <c r="F82" s="697">
        <f t="shared" ref="F82:F145" si="13">D82+E82</f>
        <v>4253.0599999999995</v>
      </c>
      <c r="G82" s="699">
        <v>9760.94</v>
      </c>
      <c r="H82" s="690">
        <f t="shared" si="12"/>
        <v>14014</v>
      </c>
    </row>
    <row r="83" spans="1:8" ht="14">
      <c r="A83" s="239"/>
      <c r="B83" s="273" t="s">
        <v>110</v>
      </c>
      <c r="C83" s="692">
        <v>1260.6600000000001</v>
      </c>
      <c r="D83" s="697">
        <v>1046.8800000000001</v>
      </c>
      <c r="E83" s="692">
        <v>3373.69</v>
      </c>
      <c r="F83" s="692">
        <f t="shared" si="13"/>
        <v>4420.57</v>
      </c>
      <c r="G83" s="692">
        <v>9761.8799999999992</v>
      </c>
      <c r="H83" s="692">
        <f t="shared" si="12"/>
        <v>14182.449999999999</v>
      </c>
    </row>
    <row r="84" spans="1:8" ht="14">
      <c r="A84" s="239"/>
      <c r="B84" s="273" t="s">
        <v>117</v>
      </c>
      <c r="C84" s="692">
        <v>1205.78</v>
      </c>
      <c r="D84" s="697">
        <v>1039.73</v>
      </c>
      <c r="E84" s="692">
        <v>3319.57</v>
      </c>
      <c r="F84" s="692">
        <f t="shared" si="13"/>
        <v>4359.3</v>
      </c>
      <c r="G84" s="699">
        <v>9695.83</v>
      </c>
      <c r="H84" s="692">
        <f t="shared" si="12"/>
        <v>14055.130000000001</v>
      </c>
    </row>
    <row r="85" spans="1:8" ht="14">
      <c r="A85" s="239"/>
      <c r="B85" s="273" t="s">
        <v>112</v>
      </c>
      <c r="C85" s="692">
        <v>1220.76</v>
      </c>
      <c r="D85" s="697">
        <v>1045.03</v>
      </c>
      <c r="E85" s="692">
        <v>3457.41</v>
      </c>
      <c r="F85" s="692">
        <f t="shared" si="13"/>
        <v>4502.4399999999996</v>
      </c>
      <c r="G85" s="699">
        <v>9582.2999999999993</v>
      </c>
      <c r="H85" s="692">
        <f t="shared" si="12"/>
        <v>14084.739999999998</v>
      </c>
    </row>
    <row r="86" spans="1:8" ht="14">
      <c r="A86" s="239"/>
      <c r="B86" s="273" t="s">
        <v>113</v>
      </c>
      <c r="C86" s="692">
        <v>1211.07</v>
      </c>
      <c r="D86" s="697">
        <v>1038.27</v>
      </c>
      <c r="E86" s="692">
        <v>3475.99</v>
      </c>
      <c r="F86" s="692">
        <f t="shared" si="13"/>
        <v>4514.26</v>
      </c>
      <c r="G86" s="699">
        <v>9454.98</v>
      </c>
      <c r="H86" s="692">
        <f t="shared" si="12"/>
        <v>13969.24</v>
      </c>
    </row>
    <row r="87" spans="1:8" ht="14">
      <c r="A87" s="239"/>
      <c r="B87" s="273" t="s">
        <v>114</v>
      </c>
      <c r="C87" s="692">
        <v>1198.3900000000001</v>
      </c>
      <c r="D87" s="697">
        <v>1025.6400000000001</v>
      </c>
      <c r="E87" s="692">
        <v>3409.27</v>
      </c>
      <c r="F87" s="692">
        <f t="shared" si="13"/>
        <v>4434.91</v>
      </c>
      <c r="G87" s="699">
        <v>9520.16</v>
      </c>
      <c r="H87" s="692">
        <f t="shared" si="12"/>
        <v>13955.07</v>
      </c>
    </row>
    <row r="88" spans="1:8" ht="14">
      <c r="A88" s="239"/>
      <c r="B88" s="273" t="s">
        <v>115</v>
      </c>
      <c r="C88" s="692">
        <v>1182.54</v>
      </c>
      <c r="D88" s="697">
        <v>1035.53</v>
      </c>
      <c r="E88" s="692">
        <v>3398.02</v>
      </c>
      <c r="F88" s="692">
        <f t="shared" si="13"/>
        <v>4433.55</v>
      </c>
      <c r="G88" s="699">
        <v>9566.66</v>
      </c>
      <c r="H88" s="692">
        <f t="shared" si="12"/>
        <v>14000.21</v>
      </c>
    </row>
    <row r="89" spans="1:8" ht="14">
      <c r="A89" s="240"/>
      <c r="B89" s="252" t="s">
        <v>116</v>
      </c>
      <c r="C89" s="694">
        <v>1263.04</v>
      </c>
      <c r="D89" s="698">
        <v>1091.45</v>
      </c>
      <c r="E89" s="694">
        <v>3316.29</v>
      </c>
      <c r="F89" s="694">
        <f t="shared" si="13"/>
        <v>4407.74</v>
      </c>
      <c r="G89" s="694">
        <v>10110.040000000001</v>
      </c>
      <c r="H89" s="694">
        <f t="shared" si="12"/>
        <v>14517.78</v>
      </c>
    </row>
    <row r="90" spans="1:8" ht="14">
      <c r="A90" s="238">
        <v>2018</v>
      </c>
      <c r="B90" s="272" t="s">
        <v>105</v>
      </c>
      <c r="C90" s="691">
        <v>1185.99</v>
      </c>
      <c r="D90" s="696">
        <v>1045.95</v>
      </c>
      <c r="E90" s="691">
        <v>3293.73</v>
      </c>
      <c r="F90" s="696">
        <f t="shared" si="13"/>
        <v>4339.68</v>
      </c>
      <c r="G90" s="691">
        <v>9757</v>
      </c>
      <c r="H90" s="695">
        <f t="shared" si="12"/>
        <v>14096.68</v>
      </c>
    </row>
    <row r="91" spans="1:8" ht="14">
      <c r="A91" s="239"/>
      <c r="B91" s="273" t="s">
        <v>106</v>
      </c>
      <c r="C91" s="692">
        <v>1214.0899999999999</v>
      </c>
      <c r="D91" s="697">
        <v>1068.6099999999999</v>
      </c>
      <c r="E91" s="692">
        <v>3253.82</v>
      </c>
      <c r="F91" s="697">
        <f t="shared" si="13"/>
        <v>4322.43</v>
      </c>
      <c r="G91" s="699">
        <v>9934.58</v>
      </c>
      <c r="H91" s="690">
        <f t="shared" si="12"/>
        <v>14257.01</v>
      </c>
    </row>
    <row r="92" spans="1:8" ht="14">
      <c r="A92" s="239"/>
      <c r="B92" s="273" t="s">
        <v>107</v>
      </c>
      <c r="C92" s="692">
        <v>1225.46</v>
      </c>
      <c r="D92" s="697">
        <v>1075.6400000000001</v>
      </c>
      <c r="E92" s="692">
        <v>3355.77</v>
      </c>
      <c r="F92" s="697">
        <f t="shared" si="13"/>
        <v>4431.41</v>
      </c>
      <c r="G92" s="692">
        <v>9868.24</v>
      </c>
      <c r="H92" s="690">
        <f t="shared" si="12"/>
        <v>14299.65</v>
      </c>
    </row>
    <row r="93" spans="1:8" ht="14">
      <c r="A93" s="239"/>
      <c r="B93" s="273" t="s">
        <v>108</v>
      </c>
      <c r="C93" s="697">
        <v>1213.42</v>
      </c>
      <c r="D93" s="692">
        <v>1068.58</v>
      </c>
      <c r="E93" s="692">
        <v>3375.72</v>
      </c>
      <c r="F93" s="692">
        <f t="shared" si="13"/>
        <v>4444.2999999999993</v>
      </c>
      <c r="G93" s="692">
        <v>9606.36</v>
      </c>
      <c r="H93" s="692">
        <f t="shared" si="12"/>
        <v>14050.66</v>
      </c>
    </row>
    <row r="94" spans="1:8" ht="14">
      <c r="A94" s="239"/>
      <c r="B94" s="273" t="s">
        <v>109</v>
      </c>
      <c r="C94" s="697">
        <v>1233.8499999999999</v>
      </c>
      <c r="D94" s="692">
        <v>1074.8</v>
      </c>
      <c r="E94" s="692">
        <v>3365.73</v>
      </c>
      <c r="F94" s="692">
        <f t="shared" si="13"/>
        <v>4440.53</v>
      </c>
      <c r="G94" s="692">
        <v>9703.11</v>
      </c>
      <c r="H94" s="692">
        <f t="shared" si="12"/>
        <v>14143.64</v>
      </c>
    </row>
    <row r="95" spans="1:8" ht="14">
      <c r="A95" s="239"/>
      <c r="B95" s="273" t="s">
        <v>110</v>
      </c>
      <c r="C95" s="697">
        <v>1194.29</v>
      </c>
      <c r="D95" s="692">
        <v>1051.49</v>
      </c>
      <c r="E95" s="692">
        <v>3415.28</v>
      </c>
      <c r="F95" s="692">
        <f t="shared" si="13"/>
        <v>4466.7700000000004</v>
      </c>
      <c r="G95" s="692">
        <v>9884.5499999999993</v>
      </c>
      <c r="H95" s="692">
        <f t="shared" si="12"/>
        <v>14351.32</v>
      </c>
    </row>
    <row r="96" spans="1:8" ht="14">
      <c r="A96" s="239"/>
      <c r="B96" s="273" t="s">
        <v>117</v>
      </c>
      <c r="C96" s="692">
        <v>1181.55</v>
      </c>
      <c r="D96" s="692">
        <v>1034.47</v>
      </c>
      <c r="E96" s="692">
        <v>3325.16</v>
      </c>
      <c r="F96" s="692">
        <f t="shared" si="13"/>
        <v>4359.63</v>
      </c>
      <c r="G96" s="692">
        <v>10136.280000000001</v>
      </c>
      <c r="H96" s="692">
        <f t="shared" si="12"/>
        <v>14495.91</v>
      </c>
    </row>
    <row r="97" spans="1:8" ht="14">
      <c r="A97" s="239"/>
      <c r="B97" s="273" t="s">
        <v>112</v>
      </c>
      <c r="C97" s="692">
        <v>1159.19</v>
      </c>
      <c r="D97" s="692">
        <v>1027.51</v>
      </c>
      <c r="E97" s="692">
        <v>3173.77</v>
      </c>
      <c r="F97" s="692">
        <f t="shared" si="13"/>
        <v>4201.28</v>
      </c>
      <c r="G97" s="692">
        <v>10679.03</v>
      </c>
      <c r="H97" s="692">
        <f t="shared" si="12"/>
        <v>14880.310000000001</v>
      </c>
    </row>
    <row r="98" spans="1:8" ht="14">
      <c r="A98" s="239"/>
      <c r="B98" s="273" t="s">
        <v>113</v>
      </c>
      <c r="C98" s="700">
        <v>1157.5</v>
      </c>
      <c r="D98" s="692">
        <v>1028.8900000000001</v>
      </c>
      <c r="E98" s="692">
        <v>3215.81</v>
      </c>
      <c r="F98" s="692">
        <f t="shared" si="13"/>
        <v>4244.7</v>
      </c>
      <c r="G98" s="692">
        <v>10366.85</v>
      </c>
      <c r="H98" s="690">
        <f t="shared" si="12"/>
        <v>14611.55</v>
      </c>
    </row>
    <row r="99" spans="1:8" ht="14">
      <c r="A99" s="239"/>
      <c r="B99" s="273" t="s">
        <v>114</v>
      </c>
      <c r="C99" s="697">
        <v>1158.43</v>
      </c>
      <c r="D99" s="692">
        <v>1017.42</v>
      </c>
      <c r="E99" s="692">
        <v>3206.05</v>
      </c>
      <c r="F99" s="692">
        <f t="shared" si="13"/>
        <v>4223.47</v>
      </c>
      <c r="G99" s="692">
        <v>9948.93</v>
      </c>
      <c r="H99" s="690">
        <f t="shared" si="12"/>
        <v>14172.400000000001</v>
      </c>
    </row>
    <row r="100" spans="1:8" ht="14">
      <c r="A100" s="239"/>
      <c r="B100" s="273" t="s">
        <v>115</v>
      </c>
      <c r="C100" s="697">
        <v>1166.08</v>
      </c>
      <c r="D100" s="692">
        <v>1022.83</v>
      </c>
      <c r="E100" s="692">
        <v>3224.55</v>
      </c>
      <c r="F100" s="692">
        <f t="shared" si="13"/>
        <v>4247.38</v>
      </c>
      <c r="G100" s="692">
        <v>9949.31</v>
      </c>
      <c r="H100" s="690">
        <f t="shared" si="12"/>
        <v>14196.689999999999</v>
      </c>
    </row>
    <row r="101" spans="1:8" ht="14">
      <c r="A101" s="240"/>
      <c r="B101" s="274" t="s">
        <v>116</v>
      </c>
      <c r="C101" s="698">
        <v>1248.79</v>
      </c>
      <c r="D101" s="694">
        <v>1084</v>
      </c>
      <c r="E101" s="694">
        <v>3189.9</v>
      </c>
      <c r="F101" s="694">
        <f t="shared" si="13"/>
        <v>4273.8999999999996</v>
      </c>
      <c r="G101" s="694">
        <v>10655.82</v>
      </c>
      <c r="H101" s="693">
        <f t="shared" si="12"/>
        <v>14929.72</v>
      </c>
    </row>
    <row r="102" spans="1:8" ht="14">
      <c r="A102" s="238">
        <v>2019</v>
      </c>
      <c r="B102" s="272" t="s">
        <v>105</v>
      </c>
      <c r="C102" s="696">
        <v>1218.93</v>
      </c>
      <c r="D102" s="691">
        <v>1081.1199999999999</v>
      </c>
      <c r="E102" s="691">
        <v>3184.12</v>
      </c>
      <c r="F102" s="691">
        <f t="shared" si="13"/>
        <v>4265.24</v>
      </c>
      <c r="G102" s="691">
        <v>10688.4</v>
      </c>
      <c r="H102" s="691">
        <f t="shared" si="12"/>
        <v>14953.64</v>
      </c>
    </row>
    <row r="103" spans="1:8" ht="14">
      <c r="A103" s="239"/>
      <c r="B103" s="273" t="s">
        <v>106</v>
      </c>
      <c r="C103" s="697">
        <v>1209.48</v>
      </c>
      <c r="D103" s="692">
        <v>1067.6500000000001</v>
      </c>
      <c r="E103" s="692">
        <v>3172.04</v>
      </c>
      <c r="F103" s="692">
        <f t="shared" si="13"/>
        <v>4239.6900000000005</v>
      </c>
      <c r="G103" s="692">
        <v>10682.61</v>
      </c>
      <c r="H103" s="692">
        <f t="shared" si="12"/>
        <v>14922.300000000001</v>
      </c>
    </row>
    <row r="104" spans="1:8" ht="14">
      <c r="A104" s="239"/>
      <c r="B104" s="273" t="s">
        <v>107</v>
      </c>
      <c r="C104" s="697">
        <v>1212.72</v>
      </c>
      <c r="D104" s="692">
        <v>1068.31</v>
      </c>
      <c r="E104" s="692">
        <v>3406.67</v>
      </c>
      <c r="F104" s="692">
        <f t="shared" si="13"/>
        <v>4474.9799999999996</v>
      </c>
      <c r="G104" s="692">
        <v>10294.450000000001</v>
      </c>
      <c r="H104" s="692">
        <f t="shared" si="12"/>
        <v>14769.43</v>
      </c>
    </row>
    <row r="105" spans="1:8" ht="14">
      <c r="A105" s="239"/>
      <c r="B105" s="273" t="s">
        <v>108</v>
      </c>
      <c r="C105" s="697">
        <v>1201.01</v>
      </c>
      <c r="D105" s="692">
        <v>1058.0999999999999</v>
      </c>
      <c r="E105" s="692">
        <v>3371.12</v>
      </c>
      <c r="F105" s="692">
        <f t="shared" si="13"/>
        <v>4429.2199999999993</v>
      </c>
      <c r="G105" s="692">
        <v>10483.57</v>
      </c>
      <c r="H105" s="692">
        <f t="shared" si="12"/>
        <v>14912.789999999999</v>
      </c>
    </row>
    <row r="106" spans="1:8" ht="14">
      <c r="A106" s="239"/>
      <c r="B106" s="273" t="s">
        <v>109</v>
      </c>
      <c r="C106" s="697">
        <v>1218.44</v>
      </c>
      <c r="D106" s="692">
        <v>1080.8900000000001</v>
      </c>
      <c r="E106" s="692">
        <v>3342.86</v>
      </c>
      <c r="F106" s="692">
        <f t="shared" si="13"/>
        <v>4423.75</v>
      </c>
      <c r="G106" s="692">
        <v>10073.73</v>
      </c>
      <c r="H106" s="692">
        <f t="shared" si="12"/>
        <v>14497.48</v>
      </c>
    </row>
    <row r="107" spans="1:8" ht="14">
      <c r="A107" s="239"/>
      <c r="B107" s="273" t="s">
        <v>110</v>
      </c>
      <c r="C107" s="697">
        <v>1182.79</v>
      </c>
      <c r="D107" s="692">
        <v>1047.69</v>
      </c>
      <c r="E107" s="692">
        <v>3495.85</v>
      </c>
      <c r="F107" s="692">
        <f t="shared" si="13"/>
        <v>4543.54</v>
      </c>
      <c r="G107" s="692">
        <v>10148.06</v>
      </c>
      <c r="H107" s="692">
        <f t="shared" si="12"/>
        <v>14691.599999999999</v>
      </c>
    </row>
    <row r="108" spans="1:8" ht="14">
      <c r="A108" s="239"/>
      <c r="B108" s="273" t="s">
        <v>117</v>
      </c>
      <c r="C108" s="692">
        <v>1167.9000000000001</v>
      </c>
      <c r="D108" s="692">
        <v>1018.72</v>
      </c>
      <c r="E108" s="692">
        <v>3473.01</v>
      </c>
      <c r="F108" s="692">
        <f t="shared" si="13"/>
        <v>4491.7300000000005</v>
      </c>
      <c r="G108" s="692">
        <v>10175.61</v>
      </c>
      <c r="H108" s="692">
        <f t="shared" si="12"/>
        <v>14667.34</v>
      </c>
    </row>
    <row r="109" spans="1:8" ht="14">
      <c r="A109" s="239"/>
      <c r="B109" s="273" t="s">
        <v>112</v>
      </c>
      <c r="C109" s="692">
        <v>1183.5899999999999</v>
      </c>
      <c r="D109" s="692">
        <v>1031.73</v>
      </c>
      <c r="E109" s="692">
        <v>3418.6</v>
      </c>
      <c r="F109" s="692">
        <f t="shared" si="13"/>
        <v>4450.33</v>
      </c>
      <c r="G109" s="692">
        <v>10398.56</v>
      </c>
      <c r="H109" s="692">
        <f t="shared" si="12"/>
        <v>14848.89</v>
      </c>
    </row>
    <row r="110" spans="1:8" ht="14">
      <c r="A110" s="239"/>
      <c r="B110" s="273" t="s">
        <v>113</v>
      </c>
      <c r="C110" s="692">
        <v>1156.71</v>
      </c>
      <c r="D110" s="692">
        <v>1013.41</v>
      </c>
      <c r="E110" s="692">
        <v>3433.7</v>
      </c>
      <c r="F110" s="692">
        <f t="shared" si="13"/>
        <v>4447.1099999999997</v>
      </c>
      <c r="G110" s="692">
        <v>9750.7099999999991</v>
      </c>
      <c r="H110" s="692">
        <f t="shared" si="12"/>
        <v>14197.82</v>
      </c>
    </row>
    <row r="111" spans="1:8" ht="14">
      <c r="A111" s="239"/>
      <c r="B111" s="273" t="s">
        <v>114</v>
      </c>
      <c r="C111" s="692">
        <v>1152.1600000000001</v>
      </c>
      <c r="D111" s="692">
        <v>1014.37</v>
      </c>
      <c r="E111" s="692">
        <v>3564.02</v>
      </c>
      <c r="F111" s="692">
        <f t="shared" si="13"/>
        <v>4578.3900000000003</v>
      </c>
      <c r="G111" s="692">
        <v>9758.83</v>
      </c>
      <c r="H111" s="692">
        <f t="shared" si="12"/>
        <v>14337.220000000001</v>
      </c>
    </row>
    <row r="112" spans="1:8" ht="14">
      <c r="A112" s="284"/>
      <c r="B112" s="273" t="s">
        <v>115</v>
      </c>
      <c r="C112" s="692">
        <v>1158.25</v>
      </c>
      <c r="D112" s="692">
        <v>1020.13</v>
      </c>
      <c r="E112" s="692">
        <v>3546.45</v>
      </c>
      <c r="F112" s="692">
        <f t="shared" si="13"/>
        <v>4566.58</v>
      </c>
      <c r="G112" s="692">
        <v>9749.56</v>
      </c>
      <c r="H112" s="692">
        <f t="shared" si="12"/>
        <v>14316.14</v>
      </c>
    </row>
    <row r="113" spans="1:8" ht="14">
      <c r="A113" s="285"/>
      <c r="B113" s="274" t="s">
        <v>116</v>
      </c>
      <c r="C113" s="694">
        <v>1228.1199999999999</v>
      </c>
      <c r="D113" s="694">
        <v>1052.78</v>
      </c>
      <c r="E113" s="694">
        <v>3505.01</v>
      </c>
      <c r="F113" s="694">
        <f t="shared" si="13"/>
        <v>4557.79</v>
      </c>
      <c r="G113" s="694">
        <v>11009.27</v>
      </c>
      <c r="H113" s="694">
        <f t="shared" si="12"/>
        <v>15567.060000000001</v>
      </c>
    </row>
    <row r="114" spans="1:8" ht="14">
      <c r="A114" s="238">
        <v>2020</v>
      </c>
      <c r="B114" s="272" t="s">
        <v>105</v>
      </c>
      <c r="C114" s="701">
        <v>1226.1550337100011</v>
      </c>
      <c r="D114" s="691">
        <v>1069.2283212199932</v>
      </c>
      <c r="E114" s="691">
        <v>3681.5652138621017</v>
      </c>
      <c r="F114" s="691">
        <f t="shared" si="13"/>
        <v>4750.7935350820953</v>
      </c>
      <c r="G114" s="691">
        <v>10337.087503742277</v>
      </c>
      <c r="H114" s="691">
        <f t="shared" si="12"/>
        <v>15087.881038824373</v>
      </c>
    </row>
    <row r="115" spans="1:8" ht="14">
      <c r="A115" s="239"/>
      <c r="B115" s="273" t="s">
        <v>106</v>
      </c>
      <c r="C115" s="700">
        <v>1213.7304313600025</v>
      </c>
      <c r="D115" s="692">
        <v>1077.4330898400062</v>
      </c>
      <c r="E115" s="692">
        <v>3717.2577897084338</v>
      </c>
      <c r="F115" s="692">
        <f t="shared" si="13"/>
        <v>4794.6908795484396</v>
      </c>
      <c r="G115" s="692">
        <v>10243.180074434258</v>
      </c>
      <c r="H115" s="692">
        <f t="shared" si="12"/>
        <v>15037.870953982698</v>
      </c>
    </row>
    <row r="116" spans="1:8" ht="14">
      <c r="A116" s="239"/>
      <c r="B116" s="273" t="s">
        <v>107</v>
      </c>
      <c r="C116" s="700">
        <v>1231.7309025500017</v>
      </c>
      <c r="D116" s="692">
        <v>1069.2012323800018</v>
      </c>
      <c r="E116" s="692">
        <v>4023.7414354409957</v>
      </c>
      <c r="F116" s="692">
        <f t="shared" si="13"/>
        <v>5092.9426678209975</v>
      </c>
      <c r="G116" s="692">
        <v>10128.96355573893</v>
      </c>
      <c r="H116" s="692">
        <f t="shared" si="12"/>
        <v>15221.906223559927</v>
      </c>
    </row>
    <row r="117" spans="1:8" ht="14">
      <c r="A117" s="239"/>
      <c r="B117" s="273" t="s">
        <v>108</v>
      </c>
      <c r="C117" s="697">
        <v>1246.2998145100014</v>
      </c>
      <c r="D117" s="692">
        <v>1089.8122161200013</v>
      </c>
      <c r="E117" s="692">
        <v>4140.5380432987367</v>
      </c>
      <c r="F117" s="692">
        <f t="shared" si="13"/>
        <v>5230.3502594187376</v>
      </c>
      <c r="G117" s="692">
        <v>10150.650821698808</v>
      </c>
      <c r="H117" s="692">
        <f t="shared" si="12"/>
        <v>15381.001081117545</v>
      </c>
    </row>
    <row r="118" spans="1:8" ht="14">
      <c r="A118" s="239"/>
      <c r="B118" s="273" t="s">
        <v>109</v>
      </c>
      <c r="C118" s="697">
        <v>1290.5841029500004</v>
      </c>
      <c r="D118" s="692">
        <v>1114.0620159600005</v>
      </c>
      <c r="E118" s="692">
        <v>4159.1542817208829</v>
      </c>
      <c r="F118" s="692">
        <f t="shared" si="13"/>
        <v>5273.2162976808831</v>
      </c>
      <c r="G118" s="692">
        <v>11534.148161016738</v>
      </c>
      <c r="H118" s="692">
        <f t="shared" si="12"/>
        <v>16807.364458697622</v>
      </c>
    </row>
    <row r="119" spans="1:8" ht="14">
      <c r="A119" s="239"/>
      <c r="B119" s="273" t="s">
        <v>110</v>
      </c>
      <c r="C119" s="697">
        <v>1249.8312050100008</v>
      </c>
      <c r="D119" s="692">
        <v>1108.7343657000008</v>
      </c>
      <c r="E119" s="692">
        <v>4091.1498431683158</v>
      </c>
      <c r="F119" s="692">
        <f t="shared" si="13"/>
        <v>5199.8842088683168</v>
      </c>
      <c r="G119" s="692">
        <v>9548.4098258722879</v>
      </c>
      <c r="H119" s="692">
        <f t="shared" si="12"/>
        <v>14748.294034740604</v>
      </c>
    </row>
    <row r="120" spans="1:8" ht="14">
      <c r="A120" s="239"/>
      <c r="B120" s="273" t="s">
        <v>117</v>
      </c>
      <c r="C120" s="692">
        <v>1258.2710294899989</v>
      </c>
      <c r="D120" s="692">
        <v>1111.9154521599989</v>
      </c>
      <c r="E120" s="692">
        <v>4305.4435721855452</v>
      </c>
      <c r="F120" s="692">
        <f t="shared" si="13"/>
        <v>5417.3590243455437</v>
      </c>
      <c r="G120" s="692">
        <v>9617.1610283342852</v>
      </c>
      <c r="H120" s="692">
        <f t="shared" si="12"/>
        <v>15034.520052679829</v>
      </c>
    </row>
    <row r="121" spans="1:8" ht="14">
      <c r="A121" s="239"/>
      <c r="B121" s="273" t="s">
        <v>112</v>
      </c>
      <c r="C121" s="692">
        <v>1260.7618419999983</v>
      </c>
      <c r="D121" s="692">
        <v>1109.5162172099983</v>
      </c>
      <c r="E121" s="692">
        <v>4297.8618431837476</v>
      </c>
      <c r="F121" s="692">
        <f t="shared" si="13"/>
        <v>5407.3780603937457</v>
      </c>
      <c r="G121" s="692">
        <v>9716.645081715742</v>
      </c>
      <c r="H121" s="692">
        <f t="shared" si="12"/>
        <v>15124.023142109487</v>
      </c>
    </row>
    <row r="122" spans="1:8" ht="14">
      <c r="A122" s="239"/>
      <c r="B122" s="273" t="s">
        <v>113</v>
      </c>
      <c r="C122" s="692">
        <v>1268.7726502200001</v>
      </c>
      <c r="D122" s="692">
        <v>1121.4168890000001</v>
      </c>
      <c r="E122" s="692">
        <v>4340.097585452826</v>
      </c>
      <c r="F122" s="692">
        <f t="shared" si="13"/>
        <v>5461.5144744528261</v>
      </c>
      <c r="G122" s="692">
        <v>9747.1807911504748</v>
      </c>
      <c r="H122" s="692">
        <f t="shared" si="12"/>
        <v>15208.695265603301</v>
      </c>
    </row>
    <row r="123" spans="1:8" ht="14">
      <c r="A123" s="239"/>
      <c r="B123" s="273" t="s">
        <v>114</v>
      </c>
      <c r="C123" s="697">
        <v>1276.1789283899986</v>
      </c>
      <c r="D123" s="692">
        <v>1130.2599724999986</v>
      </c>
      <c r="E123" s="692">
        <v>4326.931531352312</v>
      </c>
      <c r="F123" s="692">
        <f t="shared" si="13"/>
        <v>5457.1915038523111</v>
      </c>
      <c r="G123" s="692">
        <v>10188.449795845911</v>
      </c>
      <c r="H123" s="692">
        <f t="shared" si="12"/>
        <v>15645.641299698222</v>
      </c>
    </row>
    <row r="124" spans="1:8" ht="14">
      <c r="A124" s="239"/>
      <c r="B124" s="273" t="s">
        <v>115</v>
      </c>
      <c r="C124" s="697">
        <v>1282.7619999999999</v>
      </c>
      <c r="D124" s="692">
        <v>1131.8564639199999</v>
      </c>
      <c r="E124" s="692">
        <v>4734.3564053829186</v>
      </c>
      <c r="F124" s="692">
        <f t="shared" si="13"/>
        <v>5866.212869302919</v>
      </c>
      <c r="G124" s="692">
        <v>9686.5763792248672</v>
      </c>
      <c r="H124" s="692">
        <f t="shared" si="12"/>
        <v>15552.789248527786</v>
      </c>
    </row>
    <row r="125" spans="1:8" ht="14">
      <c r="A125" s="240"/>
      <c r="B125" s="274" t="s">
        <v>116</v>
      </c>
      <c r="C125" s="698">
        <v>1357.799872719999</v>
      </c>
      <c r="D125" s="694">
        <v>1183.1818119799991</v>
      </c>
      <c r="E125" s="694">
        <v>4320.4716105498437</v>
      </c>
      <c r="F125" s="694">
        <f t="shared" si="13"/>
        <v>5503.6534225298428</v>
      </c>
      <c r="G125" s="694">
        <v>9996.5222901225352</v>
      </c>
      <c r="H125" s="694">
        <f t="shared" si="12"/>
        <v>15500.175712652377</v>
      </c>
    </row>
    <row r="126" spans="1:8" ht="14">
      <c r="A126" s="238">
        <v>2021</v>
      </c>
      <c r="B126" s="272" t="s">
        <v>105</v>
      </c>
      <c r="C126" s="696">
        <v>1321.3801006300002</v>
      </c>
      <c r="D126" s="691">
        <v>1179.9935341900002</v>
      </c>
      <c r="E126" s="691">
        <v>4310.6050156701649</v>
      </c>
      <c r="F126" s="691">
        <f t="shared" si="13"/>
        <v>5490.5985498601649</v>
      </c>
      <c r="G126" s="691">
        <v>10005.907891065881</v>
      </c>
      <c r="H126" s="691">
        <f t="shared" si="12"/>
        <v>15496.506440926045</v>
      </c>
    </row>
    <row r="127" spans="1:8" ht="14">
      <c r="A127" s="239"/>
      <c r="B127" s="273" t="s">
        <v>106</v>
      </c>
      <c r="C127" s="697">
        <v>1347.8479314700014</v>
      </c>
      <c r="D127" s="692">
        <v>1208.0531424800015</v>
      </c>
      <c r="E127" s="692">
        <v>4192.7944132515822</v>
      </c>
      <c r="F127" s="692">
        <f t="shared" si="13"/>
        <v>5400.8475557315833</v>
      </c>
      <c r="G127" s="692">
        <v>10045.655659587872</v>
      </c>
      <c r="H127" s="692">
        <f t="shared" si="12"/>
        <v>15446.503215319455</v>
      </c>
    </row>
    <row r="128" spans="1:8" ht="14">
      <c r="A128" s="239"/>
      <c r="B128" s="273" t="s">
        <v>107</v>
      </c>
      <c r="C128" s="697">
        <v>1346.6228701200007</v>
      </c>
      <c r="D128" s="692">
        <v>1199.5323550900007</v>
      </c>
      <c r="E128" s="692">
        <v>4268.6989885602807</v>
      </c>
      <c r="F128" s="692">
        <f t="shared" si="13"/>
        <v>5468.2313436502809</v>
      </c>
      <c r="G128" s="692">
        <v>10298.359036692249</v>
      </c>
      <c r="H128" s="692">
        <f t="shared" si="12"/>
        <v>15766.59038034253</v>
      </c>
    </row>
    <row r="129" spans="1:8" ht="14">
      <c r="A129" s="239"/>
      <c r="B129" s="273" t="s">
        <v>108</v>
      </c>
      <c r="C129" s="697">
        <v>1364.344897120001</v>
      </c>
      <c r="D129" s="692">
        <v>1218.2248093700009</v>
      </c>
      <c r="E129" s="692">
        <v>4328.0266264574557</v>
      </c>
      <c r="F129" s="692">
        <f t="shared" si="13"/>
        <v>5546.2514358274566</v>
      </c>
      <c r="G129" s="692">
        <v>10509.499279944153</v>
      </c>
      <c r="H129" s="692">
        <f t="shared" si="12"/>
        <v>16055.75071577161</v>
      </c>
    </row>
    <row r="130" spans="1:8" ht="14">
      <c r="A130" s="239"/>
      <c r="B130" s="273" t="s">
        <v>109</v>
      </c>
      <c r="C130" s="697">
        <v>1351.2254403600004</v>
      </c>
      <c r="D130" s="692">
        <v>1212.9761700700005</v>
      </c>
      <c r="E130" s="692">
        <v>4280.7518502957864</v>
      </c>
      <c r="F130" s="692">
        <f t="shared" si="13"/>
        <v>5493.7280203657865</v>
      </c>
      <c r="G130" s="692">
        <v>10539.65635500403</v>
      </c>
      <c r="H130" s="692">
        <f t="shared" si="12"/>
        <v>16033.384375369817</v>
      </c>
    </row>
    <row r="131" spans="1:8" ht="14">
      <c r="A131" s="239"/>
      <c r="B131" s="273" t="s">
        <v>110</v>
      </c>
      <c r="C131" s="697">
        <v>1351.7359267300003</v>
      </c>
      <c r="D131" s="692">
        <v>1194.2363152900002</v>
      </c>
      <c r="E131" s="692">
        <v>4327.481281272655</v>
      </c>
      <c r="F131" s="692">
        <f t="shared" si="13"/>
        <v>5521.7175965626557</v>
      </c>
      <c r="G131" s="692">
        <v>10459.523594060796</v>
      </c>
      <c r="H131" s="692">
        <f t="shared" si="12"/>
        <v>15981.241190623452</v>
      </c>
    </row>
    <row r="132" spans="1:8" ht="14">
      <c r="A132" s="239"/>
      <c r="B132" s="273" t="s">
        <v>117</v>
      </c>
      <c r="C132" s="697">
        <v>1344.5807025600004</v>
      </c>
      <c r="D132" s="692">
        <v>1195.5281378900004</v>
      </c>
      <c r="E132" s="692">
        <v>4289.288555140316</v>
      </c>
      <c r="F132" s="692">
        <f t="shared" si="13"/>
        <v>5484.8166930303159</v>
      </c>
      <c r="G132" s="692">
        <v>10446.313795554015</v>
      </c>
      <c r="H132" s="692">
        <f t="shared" si="12"/>
        <v>15931.130488584331</v>
      </c>
    </row>
    <row r="133" spans="1:8" ht="14">
      <c r="A133" s="239"/>
      <c r="B133" s="273" t="s">
        <v>112</v>
      </c>
      <c r="C133" s="697">
        <v>1363.8324632600013</v>
      </c>
      <c r="D133" s="692">
        <v>1199.5717204900013</v>
      </c>
      <c r="E133" s="692">
        <v>4414.0771728279851</v>
      </c>
      <c r="F133" s="692">
        <f t="shared" si="13"/>
        <v>5613.6488933179862</v>
      </c>
      <c r="G133" s="692">
        <v>10356.3985453147</v>
      </c>
      <c r="H133" s="692">
        <f t="shared" si="12"/>
        <v>15970.047438632686</v>
      </c>
    </row>
    <row r="134" spans="1:8" ht="14">
      <c r="A134" s="239"/>
      <c r="B134" s="273" t="s">
        <v>113</v>
      </c>
      <c r="C134" s="697">
        <v>1345.9479682299996</v>
      </c>
      <c r="D134" s="692">
        <v>1204.8824919199997</v>
      </c>
      <c r="E134" s="692">
        <v>4413.9876244991819</v>
      </c>
      <c r="F134" s="692">
        <f t="shared" si="13"/>
        <v>5618.8701164191816</v>
      </c>
      <c r="G134" s="692">
        <v>10290.926852202976</v>
      </c>
      <c r="H134" s="692">
        <f t="shared" si="12"/>
        <v>15909.796968622159</v>
      </c>
    </row>
    <row r="135" spans="1:8" ht="14">
      <c r="A135" s="239"/>
      <c r="B135" s="273" t="s">
        <v>114</v>
      </c>
      <c r="C135" s="697">
        <v>1366.9272868100004</v>
      </c>
      <c r="D135" s="692">
        <v>1219.8643383900005</v>
      </c>
      <c r="E135" s="692">
        <v>4434.3844270946483</v>
      </c>
      <c r="F135" s="692">
        <f t="shared" si="13"/>
        <v>5654.2487654846491</v>
      </c>
      <c r="G135" s="692">
        <v>9977.1023363021905</v>
      </c>
      <c r="H135" s="692">
        <f t="shared" si="12"/>
        <v>15631.35110178684</v>
      </c>
    </row>
    <row r="136" spans="1:8" ht="14">
      <c r="A136" s="239"/>
      <c r="B136" s="273" t="s">
        <v>115</v>
      </c>
      <c r="C136" s="697">
        <v>1369.6249699700008</v>
      </c>
      <c r="D136" s="692">
        <v>1220.0606231200009</v>
      </c>
      <c r="E136" s="692">
        <v>4723.4984682899703</v>
      </c>
      <c r="F136" s="692">
        <f t="shared" si="13"/>
        <v>5943.5590914099712</v>
      </c>
      <c r="G136" s="692">
        <v>9979.2070551721044</v>
      </c>
      <c r="H136" s="692">
        <f t="shared" si="12"/>
        <v>15922.766146582075</v>
      </c>
    </row>
    <row r="137" spans="1:8" ht="14">
      <c r="A137" s="240"/>
      <c r="B137" s="274" t="s">
        <v>116</v>
      </c>
      <c r="C137" s="698">
        <v>1431.4355419100011</v>
      </c>
      <c r="D137" s="694">
        <v>1267.1871295500011</v>
      </c>
      <c r="E137" s="694">
        <v>4593.9724761571251</v>
      </c>
      <c r="F137" s="694">
        <f t="shared" si="13"/>
        <v>5861.1596057071265</v>
      </c>
      <c r="G137" s="694">
        <v>10058.388209957551</v>
      </c>
      <c r="H137" s="694">
        <f t="shared" si="12"/>
        <v>15919.547815664679</v>
      </c>
    </row>
    <row r="138" spans="1:8" ht="14">
      <c r="A138" s="238">
        <v>2022</v>
      </c>
      <c r="B138" s="272" t="s">
        <v>105</v>
      </c>
      <c r="C138" s="691">
        <v>1432.9780902000016</v>
      </c>
      <c r="D138" s="691">
        <v>1282.5457600000016</v>
      </c>
      <c r="E138" s="691">
        <v>4588.4046231320053</v>
      </c>
      <c r="F138" s="691">
        <f t="shared" si="13"/>
        <v>5870.9503831320071</v>
      </c>
      <c r="G138" s="691">
        <v>10128.904279594539</v>
      </c>
      <c r="H138" s="691">
        <f t="shared" si="12"/>
        <v>15999.854662726546</v>
      </c>
    </row>
    <row r="139" spans="1:8" ht="14">
      <c r="A139" s="239"/>
      <c r="B139" s="273" t="s">
        <v>106</v>
      </c>
      <c r="C139" s="692">
        <v>1422.2380442999997</v>
      </c>
      <c r="D139" s="692">
        <v>1284.5833195299995</v>
      </c>
      <c r="E139" s="692">
        <v>4636.8125037216305</v>
      </c>
      <c r="F139" s="692">
        <f t="shared" si="13"/>
        <v>5921.3958232516297</v>
      </c>
      <c r="G139" s="692">
        <v>10131.40977750562</v>
      </c>
      <c r="H139" s="692">
        <f t="shared" si="12"/>
        <v>16052.805600757249</v>
      </c>
    </row>
    <row r="140" spans="1:8" ht="14">
      <c r="A140" s="239"/>
      <c r="B140" s="273" t="s">
        <v>107</v>
      </c>
      <c r="C140" s="692">
        <v>1431.6449972299997</v>
      </c>
      <c r="D140" s="692">
        <v>1276.4138597699998</v>
      </c>
      <c r="E140" s="692">
        <v>4854.6983007839717</v>
      </c>
      <c r="F140" s="692">
        <f t="shared" si="13"/>
        <v>6131.112160553972</v>
      </c>
      <c r="G140" s="692">
        <v>10062.266285289639</v>
      </c>
      <c r="H140" s="692">
        <f t="shared" si="12"/>
        <v>16193.378445843611</v>
      </c>
    </row>
    <row r="141" spans="1:8" ht="14">
      <c r="A141" s="239"/>
      <c r="B141" s="273" t="s">
        <v>108</v>
      </c>
      <c r="C141" s="692">
        <v>1439.95720211</v>
      </c>
      <c r="D141" s="692">
        <v>1300.54426317</v>
      </c>
      <c r="E141" s="692">
        <v>4736.9793368385335</v>
      </c>
      <c r="F141" s="692">
        <f t="shared" si="13"/>
        <v>6037.5236000085333</v>
      </c>
      <c r="G141" s="692">
        <v>10089.717899416808</v>
      </c>
      <c r="H141" s="692">
        <f t="shared" si="12"/>
        <v>16127.241499425341</v>
      </c>
    </row>
    <row r="142" spans="1:8" ht="14">
      <c r="A142" s="239"/>
      <c r="B142" s="273" t="s">
        <v>109</v>
      </c>
      <c r="C142" s="692">
        <v>1411.1797910499988</v>
      </c>
      <c r="D142" s="692">
        <v>1265.7832494699987</v>
      </c>
      <c r="E142" s="692">
        <v>5107.5951079667093</v>
      </c>
      <c r="F142" s="692">
        <f t="shared" si="13"/>
        <v>6373.378357436708</v>
      </c>
      <c r="G142" s="692">
        <v>10252.846360706533</v>
      </c>
      <c r="H142" s="692">
        <f t="shared" si="12"/>
        <v>16626.224718143239</v>
      </c>
    </row>
    <row r="143" spans="1:8" ht="14">
      <c r="A143" s="239"/>
      <c r="B143" s="273" t="s">
        <v>110</v>
      </c>
      <c r="C143" s="692">
        <v>1401.9744384400021</v>
      </c>
      <c r="D143" s="692">
        <v>1262.9935320800021</v>
      </c>
      <c r="E143" s="692">
        <v>4615.7085179587157</v>
      </c>
      <c r="F143" s="692">
        <f t="shared" si="13"/>
        <v>5878.702050038718</v>
      </c>
      <c r="G143" s="692">
        <v>10187.36514504367</v>
      </c>
      <c r="H143" s="692">
        <f t="shared" si="12"/>
        <v>16066.067195082389</v>
      </c>
    </row>
    <row r="144" spans="1:8" ht="14">
      <c r="A144" s="239"/>
      <c r="B144" s="273" t="s">
        <v>117</v>
      </c>
      <c r="C144" s="692">
        <v>1391.1984591800012</v>
      </c>
      <c r="D144" s="692">
        <v>1257.4828862300012</v>
      </c>
      <c r="E144" s="692">
        <v>4782.1397314153928</v>
      </c>
      <c r="F144" s="692">
        <f t="shared" si="13"/>
        <v>6039.6226176453938</v>
      </c>
      <c r="G144" s="692">
        <v>10447.957248647193</v>
      </c>
      <c r="H144" s="692">
        <f t="shared" si="12"/>
        <v>16487.579866292588</v>
      </c>
    </row>
    <row r="145" spans="1:8" ht="14">
      <c r="A145" s="239"/>
      <c r="B145" s="273" t="s">
        <v>112</v>
      </c>
      <c r="C145" s="692">
        <v>1389.3364136399982</v>
      </c>
      <c r="D145" s="692">
        <v>1233.4892068599981</v>
      </c>
      <c r="E145" s="692">
        <v>4611.9967865575527</v>
      </c>
      <c r="F145" s="692">
        <f t="shared" si="13"/>
        <v>5845.4859934175511</v>
      </c>
      <c r="G145" s="692">
        <v>10411.789408829361</v>
      </c>
      <c r="H145" s="692">
        <f t="shared" ref="H145:H188" si="14">F145+G145</f>
        <v>16257.275402246913</v>
      </c>
    </row>
    <row r="146" spans="1:8" ht="14">
      <c r="A146" s="239"/>
      <c r="B146" s="273" t="s">
        <v>113</v>
      </c>
      <c r="C146" s="692">
        <v>1364.2583001700013</v>
      </c>
      <c r="D146" s="692">
        <v>1228.3226320800013</v>
      </c>
      <c r="E146" s="692">
        <v>4545.7496960818253</v>
      </c>
      <c r="F146" s="692">
        <f t="shared" ref="F146:F188" si="15">D146+E146</f>
        <v>5774.0723281618266</v>
      </c>
      <c r="G146" s="692">
        <v>10693.533172220759</v>
      </c>
      <c r="H146" s="692">
        <f t="shared" si="14"/>
        <v>16467.605500382586</v>
      </c>
    </row>
    <row r="147" spans="1:8" ht="14">
      <c r="A147" s="239"/>
      <c r="B147" s="273" t="s">
        <v>114</v>
      </c>
      <c r="C147" s="692">
        <v>1361.6274651999993</v>
      </c>
      <c r="D147" s="692">
        <v>1220.3446089199992</v>
      </c>
      <c r="E147" s="692">
        <v>4527.437166970034</v>
      </c>
      <c r="F147" s="692">
        <f t="shared" si="15"/>
        <v>5747.7817758900328</v>
      </c>
      <c r="G147" s="692">
        <v>10317.101965261802</v>
      </c>
      <c r="H147" s="692">
        <f t="shared" si="14"/>
        <v>16064.883741151834</v>
      </c>
    </row>
    <row r="148" spans="1:8" ht="14">
      <c r="A148" s="239"/>
      <c r="B148" s="273" t="s">
        <v>115</v>
      </c>
      <c r="C148" s="692">
        <v>1359.1085463099992</v>
      </c>
      <c r="D148" s="692">
        <v>1220.6359658699992</v>
      </c>
      <c r="E148" s="692">
        <v>4457.2443892749734</v>
      </c>
      <c r="F148" s="692">
        <f t="shared" si="15"/>
        <v>5677.8803551449728</v>
      </c>
      <c r="G148" s="692">
        <v>10180.388367971998</v>
      </c>
      <c r="H148" s="692">
        <f t="shared" si="14"/>
        <v>15858.268723116971</v>
      </c>
    </row>
    <row r="149" spans="1:8" ht="14">
      <c r="A149" s="240"/>
      <c r="B149" s="274" t="s">
        <v>116</v>
      </c>
      <c r="C149" s="694">
        <v>1422.2726778999961</v>
      </c>
      <c r="D149" s="694">
        <v>1255.7973912899963</v>
      </c>
      <c r="E149" s="694">
        <v>4677.8128776112935</v>
      </c>
      <c r="F149" s="694">
        <f t="shared" si="15"/>
        <v>5933.6102689012896</v>
      </c>
      <c r="G149" s="694">
        <v>10185.171436569288</v>
      </c>
      <c r="H149" s="694">
        <f t="shared" si="14"/>
        <v>16118.781705470577</v>
      </c>
    </row>
    <row r="150" spans="1:8" ht="14">
      <c r="A150" s="238">
        <v>2023</v>
      </c>
      <c r="B150" s="272" t="s">
        <v>105</v>
      </c>
      <c r="C150" s="691">
        <v>1414.3585624499999</v>
      </c>
      <c r="D150" s="691">
        <v>1249.9587455000001</v>
      </c>
      <c r="E150" s="691">
        <v>4616.8495753344159</v>
      </c>
      <c r="F150" s="691">
        <f t="shared" si="15"/>
        <v>5866.808320834416</v>
      </c>
      <c r="G150" s="691">
        <v>10197.04679602021</v>
      </c>
      <c r="H150" s="691">
        <f t="shared" si="14"/>
        <v>16063.855116854626</v>
      </c>
    </row>
    <row r="151" spans="1:8" ht="14">
      <c r="A151" s="239"/>
      <c r="B151" s="273" t="s">
        <v>106</v>
      </c>
      <c r="C151" s="692">
        <v>1378.578</v>
      </c>
      <c r="D151" s="692">
        <v>1231.9726936499999</v>
      </c>
      <c r="E151" s="692">
        <v>4386.5780709190931</v>
      </c>
      <c r="F151" s="692">
        <f t="shared" si="15"/>
        <v>5618.5507645690932</v>
      </c>
      <c r="G151" s="692">
        <v>10495.644213456011</v>
      </c>
      <c r="H151" s="692">
        <f t="shared" si="14"/>
        <v>16114.194978025105</v>
      </c>
    </row>
    <row r="152" spans="1:8" ht="14">
      <c r="A152" s="239"/>
      <c r="B152" s="273" t="s">
        <v>107</v>
      </c>
      <c r="C152" s="692">
        <v>1384.8273224199982</v>
      </c>
      <c r="D152" s="692">
        <v>1231.4218708599983</v>
      </c>
      <c r="E152" s="692">
        <v>4542.4615691032423</v>
      </c>
      <c r="F152" s="692">
        <f t="shared" si="15"/>
        <v>5773.8834399632406</v>
      </c>
      <c r="G152" s="692">
        <v>10188.859909562827</v>
      </c>
      <c r="H152" s="692">
        <f t="shared" si="14"/>
        <v>15962.743349526067</v>
      </c>
    </row>
    <row r="153" spans="1:8" ht="14">
      <c r="A153" s="239"/>
      <c r="B153" s="273" t="s">
        <v>108</v>
      </c>
      <c r="C153" s="692">
        <v>1429.4059999999999</v>
      </c>
      <c r="D153" s="692">
        <v>1253.80080823</v>
      </c>
      <c r="E153" s="692">
        <v>4582.3008086724303</v>
      </c>
      <c r="F153" s="692">
        <f t="shared" si="15"/>
        <v>5836.1016169024306</v>
      </c>
      <c r="G153" s="692">
        <v>10085.163466251885</v>
      </c>
      <c r="H153" s="692">
        <f t="shared" si="14"/>
        <v>15921.265083154314</v>
      </c>
    </row>
    <row r="154" spans="1:8" ht="14">
      <c r="A154" s="239"/>
      <c r="B154" s="273" t="s">
        <v>109</v>
      </c>
      <c r="C154" s="692">
        <v>1363.4736073899987</v>
      </c>
      <c r="D154" s="692">
        <v>1221.3104928899988</v>
      </c>
      <c r="E154" s="692">
        <v>4532.1451118808291</v>
      </c>
      <c r="F154" s="692">
        <f t="shared" si="15"/>
        <v>5753.4556047708284</v>
      </c>
      <c r="G154" s="692">
        <v>10255.186844397987</v>
      </c>
      <c r="H154" s="692">
        <f t="shared" si="14"/>
        <v>16008.642449168816</v>
      </c>
    </row>
    <row r="155" spans="1:8" ht="14">
      <c r="A155" s="239"/>
      <c r="B155" s="273" t="s">
        <v>110</v>
      </c>
      <c r="C155" s="692">
        <v>1366.772190809997</v>
      </c>
      <c r="D155" s="692">
        <v>1223.624233349997</v>
      </c>
      <c r="E155" s="692">
        <v>4766.006180225133</v>
      </c>
      <c r="F155" s="692">
        <f t="shared" si="15"/>
        <v>5989.6304135751298</v>
      </c>
      <c r="G155" s="692">
        <v>10336.244510859848</v>
      </c>
      <c r="H155" s="692">
        <f t="shared" si="14"/>
        <v>16325.874924434978</v>
      </c>
    </row>
    <row r="156" spans="1:8" ht="14">
      <c r="A156" s="239"/>
      <c r="B156" s="273" t="s">
        <v>117</v>
      </c>
      <c r="C156" s="692">
        <v>1367.0751393800024</v>
      </c>
      <c r="D156" s="692">
        <v>1211.9243254400023</v>
      </c>
      <c r="E156" s="692">
        <v>4493.5819300500325</v>
      </c>
      <c r="F156" s="692">
        <f t="shared" si="15"/>
        <v>5705.5062554900351</v>
      </c>
      <c r="G156" s="692">
        <v>10500.888249397212</v>
      </c>
      <c r="H156" s="692">
        <f t="shared" si="14"/>
        <v>16206.394504887248</v>
      </c>
    </row>
    <row r="157" spans="1:8" ht="14">
      <c r="A157" s="239"/>
      <c r="B157" s="273" t="s">
        <v>112</v>
      </c>
      <c r="C157" s="692">
        <v>1379.8847061200004</v>
      </c>
      <c r="D157" s="692">
        <v>1218.9928047900003</v>
      </c>
      <c r="E157" s="692">
        <v>4488.7430637014431</v>
      </c>
      <c r="F157" s="692">
        <f t="shared" si="15"/>
        <v>5707.7358684914434</v>
      </c>
      <c r="G157" s="692">
        <v>10673.66274047578</v>
      </c>
      <c r="H157" s="692">
        <f t="shared" si="14"/>
        <v>16381.398608967223</v>
      </c>
    </row>
    <row r="158" spans="1:8" ht="14">
      <c r="A158" s="239"/>
      <c r="B158" s="273" t="s">
        <v>113</v>
      </c>
      <c r="C158" s="692">
        <v>1361.4610041600038</v>
      </c>
      <c r="D158" s="692">
        <v>1225.257530860004</v>
      </c>
      <c r="E158" s="692">
        <v>4731.2920741547832</v>
      </c>
      <c r="F158" s="692">
        <f t="shared" si="15"/>
        <v>5956.5496050147867</v>
      </c>
      <c r="G158" s="692">
        <v>10314.295401529804</v>
      </c>
      <c r="H158" s="692">
        <f t="shared" si="14"/>
        <v>16270.84500654459</v>
      </c>
    </row>
    <row r="159" spans="1:8" ht="14">
      <c r="A159" s="239"/>
      <c r="B159" s="273" t="s">
        <v>114</v>
      </c>
      <c r="C159" s="692">
        <v>1375.1790825600008</v>
      </c>
      <c r="D159" s="692">
        <v>1214.4767555500009</v>
      </c>
      <c r="E159" s="692">
        <v>4539.9028262564316</v>
      </c>
      <c r="F159" s="692">
        <f t="shared" si="15"/>
        <v>5754.3795818064327</v>
      </c>
      <c r="G159" s="692">
        <v>10717.906759671674</v>
      </c>
      <c r="H159" s="692">
        <f t="shared" si="14"/>
        <v>16472.286341478106</v>
      </c>
    </row>
    <row r="160" spans="1:8" ht="14">
      <c r="A160" s="239"/>
      <c r="B160" s="273" t="s">
        <v>115</v>
      </c>
      <c r="C160" s="692">
        <v>1363.3545229300041</v>
      </c>
      <c r="D160" s="692">
        <v>1221.2046992100043</v>
      </c>
      <c r="E160" s="692">
        <v>4726.1522013654203</v>
      </c>
      <c r="F160" s="692">
        <f t="shared" si="15"/>
        <v>5947.3569005754243</v>
      </c>
      <c r="G160" s="692">
        <v>10547.492703494447</v>
      </c>
      <c r="H160" s="692">
        <f t="shared" si="14"/>
        <v>16494.84960406987</v>
      </c>
    </row>
    <row r="161" spans="1:8" ht="14">
      <c r="A161" s="240"/>
      <c r="B161" s="274" t="s">
        <v>116</v>
      </c>
      <c r="C161" s="694">
        <v>1417.0319067500036</v>
      </c>
      <c r="D161" s="694">
        <v>1261.8936681800037</v>
      </c>
      <c r="E161" s="694">
        <v>4710.3731777866833</v>
      </c>
      <c r="F161" s="694">
        <f t="shared" si="15"/>
        <v>5972.2668459666875</v>
      </c>
      <c r="G161" s="694">
        <v>10580.003459967984</v>
      </c>
      <c r="H161" s="694">
        <f t="shared" si="14"/>
        <v>16552.270305934671</v>
      </c>
    </row>
    <row r="162" spans="1:8" ht="14">
      <c r="A162" s="238">
        <v>2024</v>
      </c>
      <c r="B162" s="272" t="s">
        <v>105</v>
      </c>
      <c r="C162" s="691">
        <v>1408.379641850004</v>
      </c>
      <c r="D162" s="691">
        <v>1253.455826920004</v>
      </c>
      <c r="E162" s="691">
        <v>4861.604377030565</v>
      </c>
      <c r="F162" s="691">
        <f t="shared" si="15"/>
        <v>6115.0602039505693</v>
      </c>
      <c r="G162" s="691">
        <v>10725.747919241301</v>
      </c>
      <c r="H162" s="691">
        <f t="shared" si="14"/>
        <v>16840.80812319187</v>
      </c>
    </row>
    <row r="163" spans="1:8" ht="14">
      <c r="A163" s="239"/>
      <c r="B163" s="273" t="s">
        <v>106</v>
      </c>
      <c r="C163" s="692">
        <v>1401.9179379900038</v>
      </c>
      <c r="D163" s="692">
        <v>1252.9711443700037</v>
      </c>
      <c r="E163" s="692">
        <v>4717.6734718866546</v>
      </c>
      <c r="F163" s="692">
        <f t="shared" si="15"/>
        <v>5970.6446162566581</v>
      </c>
      <c r="G163" s="692">
        <v>10788.373783737043</v>
      </c>
      <c r="H163" s="692">
        <f t="shared" si="14"/>
        <v>16759.0183999937</v>
      </c>
    </row>
    <row r="164" spans="1:8" ht="14">
      <c r="A164" s="239"/>
      <c r="B164" s="273" t="s">
        <v>107</v>
      </c>
      <c r="C164" s="692">
        <v>1408.441071820002</v>
      </c>
      <c r="D164" s="692">
        <v>1264.9012937800021</v>
      </c>
      <c r="E164" s="692">
        <v>4942.1318479920801</v>
      </c>
      <c r="F164" s="692">
        <f t="shared" si="15"/>
        <v>6207.0331417720827</v>
      </c>
      <c r="G164" s="692">
        <v>10773.46909293854</v>
      </c>
      <c r="H164" s="692">
        <f t="shared" si="14"/>
        <v>16980.502234710621</v>
      </c>
    </row>
    <row r="165" spans="1:8" ht="14">
      <c r="A165" s="239"/>
      <c r="B165" s="273" t="s">
        <v>108</v>
      </c>
      <c r="C165" s="692">
        <v>1387.465697379997</v>
      </c>
      <c r="D165" s="692">
        <v>1240.313873099997</v>
      </c>
      <c r="E165" s="692">
        <v>4727.2468791547644</v>
      </c>
      <c r="F165" s="692">
        <f t="shared" si="15"/>
        <v>5967.5607522547616</v>
      </c>
      <c r="G165" s="692">
        <v>10811.491044334965</v>
      </c>
      <c r="H165" s="692">
        <f t="shared" si="14"/>
        <v>16779.051796589727</v>
      </c>
    </row>
    <row r="166" spans="1:8" ht="14">
      <c r="A166" s="239"/>
      <c r="B166" s="273" t="s">
        <v>109</v>
      </c>
      <c r="C166" s="692">
        <v>1363.4389171199946</v>
      </c>
      <c r="D166" s="692">
        <v>1222.7325457199947</v>
      </c>
      <c r="E166" s="692">
        <v>4466.7607263314276</v>
      </c>
      <c r="F166" s="692">
        <f t="shared" si="15"/>
        <v>5689.4932720514225</v>
      </c>
      <c r="G166" s="692">
        <v>11016.451321681019</v>
      </c>
      <c r="H166" s="692">
        <f t="shared" si="14"/>
        <v>16705.944593732442</v>
      </c>
    </row>
    <row r="167" spans="1:8" ht="14">
      <c r="A167" s="239"/>
      <c r="B167" s="273" t="s">
        <v>110</v>
      </c>
      <c r="C167" s="692">
        <v>1353.671081869998</v>
      </c>
      <c r="D167" s="692">
        <v>1229.4923749499981</v>
      </c>
      <c r="E167" s="692">
        <v>4318.6705432036306</v>
      </c>
      <c r="F167" s="692">
        <f t="shared" si="15"/>
        <v>5548.1629181536282</v>
      </c>
      <c r="G167" s="692">
        <v>11030.37810872378</v>
      </c>
      <c r="H167" s="692">
        <f t="shared" si="14"/>
        <v>16578.541026877407</v>
      </c>
    </row>
    <row r="168" spans="1:8" ht="14">
      <c r="A168" s="239"/>
      <c r="B168" s="273" t="s">
        <v>117</v>
      </c>
      <c r="C168" s="692">
        <v>1363.9222087099972</v>
      </c>
      <c r="D168" s="692">
        <v>1217.2663247499972</v>
      </c>
      <c r="E168" s="692">
        <v>4382.7569353664885</v>
      </c>
      <c r="F168" s="692">
        <f t="shared" si="15"/>
        <v>5600.0232601164862</v>
      </c>
      <c r="G168" s="692">
        <v>11198.565965642936</v>
      </c>
      <c r="H168" s="692">
        <f t="shared" si="14"/>
        <v>16798.589225759424</v>
      </c>
    </row>
    <row r="169" spans="1:8" ht="14">
      <c r="A169" s="239"/>
      <c r="B169" s="273" t="s">
        <v>112</v>
      </c>
      <c r="C169" s="692">
        <v>1361.079</v>
      </c>
      <c r="D169" s="692">
        <v>1216.0984091400001</v>
      </c>
      <c r="E169" s="692">
        <v>4336.200397998904</v>
      </c>
      <c r="F169" s="692">
        <f t="shared" si="15"/>
        <v>5552.2988071389045</v>
      </c>
      <c r="G169" s="692">
        <v>10934.670193229183</v>
      </c>
      <c r="H169" s="692">
        <f t="shared" si="14"/>
        <v>16486.969000368088</v>
      </c>
    </row>
    <row r="170" spans="1:8" ht="14">
      <c r="A170" s="239"/>
      <c r="B170" s="273" t="s">
        <v>113</v>
      </c>
      <c r="C170" s="692">
        <v>1362.4791516399987</v>
      </c>
      <c r="D170" s="692">
        <v>1215.3738036199986</v>
      </c>
      <c r="E170" s="692">
        <v>4390.595008822349</v>
      </c>
      <c r="F170" s="692">
        <f t="shared" si="15"/>
        <v>5605.9688124423474</v>
      </c>
      <c r="G170" s="692">
        <v>10994.448912102482</v>
      </c>
      <c r="H170" s="692">
        <f t="shared" si="14"/>
        <v>16600.41772454483</v>
      </c>
    </row>
    <row r="171" spans="1:8" ht="14">
      <c r="A171" s="239"/>
      <c r="B171" s="273" t="s">
        <v>114</v>
      </c>
      <c r="C171" s="692">
        <v>1353.7334956499976</v>
      </c>
      <c r="D171" s="692">
        <v>1209.3437240399976</v>
      </c>
      <c r="E171" s="692">
        <v>4377.7505355756693</v>
      </c>
      <c r="F171" s="692">
        <f t="shared" si="15"/>
        <v>5587.0942596156674</v>
      </c>
      <c r="G171" s="692">
        <v>11137.835906102424</v>
      </c>
      <c r="H171" s="692">
        <f t="shared" si="14"/>
        <v>16724.930165718091</v>
      </c>
    </row>
    <row r="172" spans="1:8" ht="14">
      <c r="A172" s="239"/>
      <c r="B172" s="273" t="s">
        <v>115</v>
      </c>
      <c r="C172" s="692">
        <v>1356.9954279799986</v>
      </c>
      <c r="D172" s="692">
        <v>1224.3703264299984</v>
      </c>
      <c r="E172" s="692">
        <v>4393.4404719135018</v>
      </c>
      <c r="F172" s="692">
        <f t="shared" si="15"/>
        <v>5617.8107983435002</v>
      </c>
      <c r="G172" s="692">
        <v>11052.491101657717</v>
      </c>
      <c r="H172" s="692">
        <f t="shared" si="14"/>
        <v>16670.301900001217</v>
      </c>
    </row>
    <row r="173" spans="1:8" ht="14">
      <c r="A173" s="240"/>
      <c r="B173" s="274" t="s">
        <v>116</v>
      </c>
      <c r="C173" s="694">
        <v>1401.4472139299976</v>
      </c>
      <c r="D173" s="694">
        <v>1236.5285406599976</v>
      </c>
      <c r="E173" s="694">
        <v>4680.7235270323163</v>
      </c>
      <c r="F173" s="694">
        <f t="shared" si="15"/>
        <v>5917.2520676923141</v>
      </c>
      <c r="G173" s="694">
        <v>11236.362121484188</v>
      </c>
      <c r="H173" s="694">
        <f t="shared" si="14"/>
        <v>17153.6141891765</v>
      </c>
    </row>
    <row r="174" spans="1:8" ht="14">
      <c r="A174" s="238">
        <v>2025</v>
      </c>
      <c r="B174" s="272" t="s">
        <v>105</v>
      </c>
      <c r="C174" s="691">
        <v>1437.0358022799985</v>
      </c>
      <c r="D174" s="691">
        <v>1258.6804471199985</v>
      </c>
      <c r="E174" s="691">
        <v>4829.5832786593819</v>
      </c>
      <c r="F174" s="691">
        <f t="shared" si="15"/>
        <v>6088.2637257793804</v>
      </c>
      <c r="G174" s="691">
        <v>11045.806735859616</v>
      </c>
      <c r="H174" s="691">
        <f t="shared" si="14"/>
        <v>17134.070461638996</v>
      </c>
    </row>
    <row r="175" spans="1:8" ht="14">
      <c r="A175" s="239"/>
      <c r="B175" s="273" t="s">
        <v>106</v>
      </c>
      <c r="C175" s="692">
        <v>1391.392961699999</v>
      </c>
      <c r="D175" s="692">
        <v>1243.8268579499993</v>
      </c>
      <c r="E175" s="692">
        <v>4782.0858276984764</v>
      </c>
      <c r="F175" s="692">
        <f t="shared" si="15"/>
        <v>6025.9126856484754</v>
      </c>
      <c r="G175" s="692">
        <v>11299.00302078946</v>
      </c>
      <c r="H175" s="692">
        <f t="shared" si="14"/>
        <v>17324.915706437936</v>
      </c>
    </row>
    <row r="176" spans="1:8" ht="14">
      <c r="A176" s="239"/>
      <c r="B176" s="273" t="s">
        <v>107</v>
      </c>
      <c r="C176" s="692">
        <v>1410.6864689599977</v>
      </c>
      <c r="D176" s="692">
        <v>1270.8092484499975</v>
      </c>
      <c r="E176" s="692">
        <v>4690.990349440438</v>
      </c>
      <c r="F176" s="692">
        <f t="shared" si="15"/>
        <v>5961.7995978904355</v>
      </c>
      <c r="G176" s="692">
        <v>11249.141647748349</v>
      </c>
      <c r="H176" s="692">
        <f t="shared" si="14"/>
        <v>17210.941245638784</v>
      </c>
    </row>
    <row r="177" spans="1:10" ht="14">
      <c r="A177" s="239"/>
      <c r="B177" s="273" t="s">
        <v>108</v>
      </c>
      <c r="C177" s="692">
        <v>1366.9321294499982</v>
      </c>
      <c r="D177" s="692">
        <v>1216.5123938999986</v>
      </c>
      <c r="E177" s="692">
        <v>4640.8285599706351</v>
      </c>
      <c r="F177" s="692">
        <f t="shared" si="15"/>
        <v>5857.3409538706337</v>
      </c>
      <c r="G177" s="692">
        <v>11165.368457345216</v>
      </c>
      <c r="H177" s="692">
        <f t="shared" si="14"/>
        <v>17022.709411215848</v>
      </c>
    </row>
    <row r="178" spans="1:10" ht="14">
      <c r="A178" s="239"/>
      <c r="B178" s="273" t="s">
        <v>109</v>
      </c>
      <c r="C178" s="692">
        <v>1350.27572824</v>
      </c>
      <c r="D178" s="692">
        <v>1214.0009911500001</v>
      </c>
      <c r="E178" s="692">
        <v>4532.0478389900154</v>
      </c>
      <c r="F178" s="692">
        <f t="shared" si="15"/>
        <v>5746.0488301400155</v>
      </c>
      <c r="G178" s="692">
        <v>11409.773848316905</v>
      </c>
      <c r="H178" s="692">
        <f t="shared" si="14"/>
        <v>17155.82267845692</v>
      </c>
    </row>
    <row r="179" spans="1:10" ht="14">
      <c r="A179" s="239"/>
      <c r="B179" s="273" t="s">
        <v>110</v>
      </c>
      <c r="C179" s="692">
        <v>1342.3623813900003</v>
      </c>
      <c r="D179" s="692">
        <v>1212.3319711400004</v>
      </c>
      <c r="E179" s="692">
        <v>4613.8830857930798</v>
      </c>
      <c r="F179" s="692">
        <f t="shared" si="15"/>
        <v>5826.2150569330806</v>
      </c>
      <c r="G179" s="692">
        <v>11137.175136527598</v>
      </c>
      <c r="H179" s="692">
        <f t="shared" si="14"/>
        <v>16963.390193460677</v>
      </c>
    </row>
    <row r="180" spans="1:10" ht="14">
      <c r="A180" s="239"/>
      <c r="B180" s="273" t="s">
        <v>117</v>
      </c>
      <c r="C180" s="692">
        <v>1348.6940039800004</v>
      </c>
      <c r="D180" s="692">
        <v>1195.63464841</v>
      </c>
      <c r="E180" s="692">
        <v>4503.53051229415</v>
      </c>
      <c r="F180" s="692">
        <f t="shared" si="15"/>
        <v>5699.1651607041495</v>
      </c>
      <c r="G180" s="692">
        <v>11358.909923371562</v>
      </c>
      <c r="H180" s="692">
        <f t="shared" si="14"/>
        <v>17058.07508407571</v>
      </c>
    </row>
    <row r="181" spans="1:10" ht="14">
      <c r="A181" s="239"/>
      <c r="B181" s="273" t="s">
        <v>112</v>
      </c>
      <c r="C181" s="692">
        <v>1355.3536115700003</v>
      </c>
      <c r="D181" s="692">
        <v>1212.6812849800006</v>
      </c>
      <c r="E181" s="692">
        <v>4581.5716713510474</v>
      </c>
      <c r="F181" s="692">
        <f t="shared" si="15"/>
        <v>5794.2529563310482</v>
      </c>
      <c r="G181" s="692">
        <v>11692.696070943577</v>
      </c>
      <c r="H181" s="692">
        <f t="shared" si="14"/>
        <v>17486.949027274626</v>
      </c>
    </row>
    <row r="182" spans="1:10" ht="14">
      <c r="A182" s="239"/>
      <c r="B182" s="273" t="s">
        <v>113</v>
      </c>
      <c r="C182" s="692">
        <v>1339.6084309400003</v>
      </c>
      <c r="D182" s="692">
        <v>1194.6766951000002</v>
      </c>
      <c r="E182" s="692">
        <v>4723.7441219362136</v>
      </c>
      <c r="F182" s="692">
        <f t="shared" si="15"/>
        <v>5918.4208170362135</v>
      </c>
      <c r="G182" s="692">
        <v>11478.237387352008</v>
      </c>
      <c r="H182" s="692">
        <f t="shared" si="14"/>
        <v>17396.658204388223</v>
      </c>
    </row>
    <row r="183" spans="1:10" ht="14">
      <c r="A183" s="239"/>
      <c r="B183" s="273" t="s">
        <v>114</v>
      </c>
      <c r="C183" s="692">
        <v>1349.4497524099982</v>
      </c>
      <c r="D183" s="692">
        <v>1191.312443409998</v>
      </c>
      <c r="E183" s="692">
        <v>4658.3872347581973</v>
      </c>
      <c r="F183" s="692">
        <f t="shared" si="15"/>
        <v>5849.6996781681955</v>
      </c>
      <c r="G183" s="692">
        <v>11437.889838174291</v>
      </c>
      <c r="H183" s="692">
        <f t="shared" si="14"/>
        <v>17287.589516342487</v>
      </c>
      <c r="J183" s="72"/>
    </row>
    <row r="184" spans="1:10" ht="14">
      <c r="A184" s="239"/>
      <c r="B184" s="273" t="s">
        <v>115</v>
      </c>
      <c r="C184" s="692">
        <v>1341.6728368599981</v>
      </c>
      <c r="D184" s="692">
        <v>1212.4797761399982</v>
      </c>
      <c r="E184" s="692">
        <v>4726.4669725065187</v>
      </c>
      <c r="F184" s="692">
        <f t="shared" si="15"/>
        <v>5938.9467486465164</v>
      </c>
      <c r="G184" s="692">
        <v>11718.909312684562</v>
      </c>
      <c r="H184" s="692">
        <f t="shared" si="14"/>
        <v>17657.856061331076</v>
      </c>
      <c r="J184" s="72"/>
    </row>
    <row r="185" spans="1:10" ht="14">
      <c r="A185" s="240"/>
      <c r="B185" s="274" t="s">
        <v>116</v>
      </c>
      <c r="C185" s="694">
        <v>1385.5812570499988</v>
      </c>
      <c r="D185" s="694">
        <v>1220.6443874499987</v>
      </c>
      <c r="E185" s="694">
        <v>4804.5184896824521</v>
      </c>
      <c r="F185" s="694">
        <f t="shared" si="15"/>
        <v>6025.1628771324504</v>
      </c>
      <c r="G185" s="694">
        <v>11497.660713422629</v>
      </c>
      <c r="H185" s="694">
        <f t="shared" si="14"/>
        <v>17522.823590555079</v>
      </c>
      <c r="J185" s="72"/>
    </row>
    <row r="186" spans="1:10" ht="14">
      <c r="A186" s="238">
        <v>2026</v>
      </c>
      <c r="B186" s="272" t="s">
        <v>105</v>
      </c>
      <c r="C186" s="691">
        <v>1365.6292098000001</v>
      </c>
      <c r="D186" s="691">
        <v>1217.0312068599999</v>
      </c>
      <c r="E186" s="691">
        <v>4832.3970351376847</v>
      </c>
      <c r="F186" s="691">
        <f t="shared" si="15"/>
        <v>6049.4282419976844</v>
      </c>
      <c r="G186" s="691">
        <v>11617.300804813678</v>
      </c>
      <c r="H186" s="691">
        <f t="shared" si="14"/>
        <v>17666.729046811364</v>
      </c>
      <c r="J186" s="72"/>
    </row>
    <row r="187" spans="1:10" ht="14">
      <c r="A187" s="239"/>
      <c r="B187" s="273" t="s">
        <v>106</v>
      </c>
      <c r="C187" s="692">
        <v>1403.4244901700019</v>
      </c>
      <c r="D187" s="692">
        <v>1249.3537404100018</v>
      </c>
      <c r="E187" s="692">
        <v>5182.4851797174442</v>
      </c>
      <c r="F187" s="692">
        <f t="shared" si="15"/>
        <v>6431.8389201274458</v>
      </c>
      <c r="G187" s="692">
        <v>11217.708769244315</v>
      </c>
      <c r="H187" s="692">
        <f t="shared" si="14"/>
        <v>17649.54768937176</v>
      </c>
      <c r="J187" s="72"/>
    </row>
    <row r="188" spans="1:10" ht="14">
      <c r="A188" s="240"/>
      <c r="B188" s="274" t="s">
        <v>107</v>
      </c>
      <c r="C188" s="694">
        <v>1427.7561817199974</v>
      </c>
      <c r="D188" s="694">
        <v>1238.2288842099974</v>
      </c>
      <c r="E188" s="694">
        <v>5126.524216604229</v>
      </c>
      <c r="F188" s="694">
        <f t="shared" si="15"/>
        <v>6364.7531008142269</v>
      </c>
      <c r="G188" s="694">
        <v>11133.687865447459</v>
      </c>
      <c r="H188" s="694">
        <f t="shared" si="14"/>
        <v>17498.440966261685</v>
      </c>
      <c r="J188" s="72"/>
    </row>
    <row r="189" spans="1:10" ht="13.5" customHeight="1">
      <c r="C189" s="76"/>
      <c r="D189" s="76"/>
      <c r="F189" s="76"/>
    </row>
    <row r="190" spans="1:10">
      <c r="A190" s="171" t="s">
        <v>118</v>
      </c>
      <c r="B190" s="160"/>
      <c r="C190" s="160"/>
      <c r="D190" s="160"/>
      <c r="E190" s="160"/>
      <c r="F190" s="160"/>
      <c r="G190" s="72"/>
      <c r="H190" s="67"/>
    </row>
    <row r="191" spans="1:10">
      <c r="A191" s="161"/>
      <c r="B191" s="160"/>
      <c r="C191" s="162"/>
      <c r="D191" s="162"/>
      <c r="E191" s="163"/>
      <c r="F191" s="163"/>
      <c r="G191" s="72"/>
      <c r="H191" s="67"/>
    </row>
    <row r="192" spans="1:10">
      <c r="A192" s="161" t="s">
        <v>119</v>
      </c>
      <c r="B192" s="160"/>
      <c r="C192" s="162"/>
      <c r="D192" s="164"/>
      <c r="E192" s="163"/>
      <c r="F192" s="163"/>
      <c r="G192" s="72"/>
      <c r="H192" s="67"/>
    </row>
    <row r="193" spans="1:8">
      <c r="A193" s="161" t="s">
        <v>120</v>
      </c>
      <c r="B193" s="160"/>
      <c r="C193" s="160"/>
      <c r="D193" s="164"/>
      <c r="E193" s="163"/>
      <c r="F193" s="160"/>
      <c r="G193" s="72"/>
      <c r="H193" s="67"/>
    </row>
    <row r="194" spans="1:8">
      <c r="D194" s="75"/>
      <c r="E194" s="73"/>
      <c r="F194" s="72"/>
      <c r="G194" s="72"/>
      <c r="H194" s="67"/>
    </row>
    <row r="195" spans="1:8">
      <c r="D195" s="75"/>
      <c r="E195" s="73"/>
      <c r="G195" s="72"/>
      <c r="H195" s="67"/>
    </row>
    <row r="196" spans="1:8">
      <c r="E196" s="73"/>
      <c r="G196" s="72"/>
      <c r="H196" s="67"/>
    </row>
    <row r="197" spans="1:8">
      <c r="E197" s="73"/>
      <c r="G197" s="72"/>
      <c r="H197" s="67"/>
    </row>
    <row r="198" spans="1:8">
      <c r="G198" s="72"/>
      <c r="H198" s="67"/>
    </row>
    <row r="199" spans="1:8">
      <c r="H199" s="67"/>
    </row>
  </sheetData>
  <sheetProtection sheet="1" formatCells="0" insertColumns="0" insertRows="0" deleteColumns="0" deleteRows="0"/>
  <mergeCells count="8">
    <mergeCell ref="A1:G1"/>
    <mergeCell ref="G4:G5"/>
    <mergeCell ref="H4:H5"/>
    <mergeCell ref="A2:H2"/>
    <mergeCell ref="A3:B5"/>
    <mergeCell ref="C3:C5"/>
    <mergeCell ref="D4:F4"/>
    <mergeCell ref="D3:H3"/>
  </mergeCells>
  <printOptions horizontalCentered="1"/>
  <pageMargins left="0.7" right="0.7" top="0.75" bottom="0.75" header="0.3" footer="0.3"/>
  <pageSetup paperSize="9" orientation="landscape" r:id="rId1"/>
  <ignoredErrors>
    <ignoredError sqref="H114:H116 F114:F11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04"/>
  <sheetViews>
    <sheetView zoomScaleNormal="100" workbookViewId="0">
      <pane xSplit="2" ySplit="4" topLeftCell="C180" activePane="bottomRight" state="frozen"/>
      <selection activeCell="O180" sqref="O180"/>
      <selection pane="topRight" activeCell="O180" sqref="O180"/>
      <selection pane="bottomLeft" activeCell="O180" sqref="O180"/>
      <selection pane="bottomRight" activeCell="C187" sqref="C187"/>
    </sheetView>
  </sheetViews>
  <sheetFormatPr defaultColWidth="9.1796875" defaultRowHeight="13"/>
  <cols>
    <col min="1" max="1" width="6.81640625" style="65" customWidth="1"/>
    <col min="2" max="2" width="7.6328125" style="65" customWidth="1"/>
    <col min="3" max="10" width="15" style="65" customWidth="1"/>
    <col min="11" max="16384" width="9.1796875" style="65"/>
  </cols>
  <sheetData>
    <row r="1" spans="1:10" ht="15.5">
      <c r="A1" s="709" t="s">
        <v>162</v>
      </c>
      <c r="B1" s="709"/>
      <c r="C1" s="709"/>
      <c r="D1" s="709"/>
      <c r="E1" s="709"/>
      <c r="F1" s="709"/>
      <c r="G1" s="709"/>
      <c r="H1" s="709"/>
    </row>
    <row r="2" spans="1:10" ht="14">
      <c r="A2" s="760" t="s">
        <v>97</v>
      </c>
      <c r="B2" s="760"/>
      <c r="C2" s="760"/>
      <c r="D2" s="760"/>
      <c r="E2" s="760"/>
      <c r="F2" s="760"/>
      <c r="G2" s="760"/>
      <c r="H2" s="760"/>
      <c r="I2" s="760"/>
      <c r="J2" s="760"/>
    </row>
    <row r="3" spans="1:10" s="68" customFormat="1" ht="22.5" customHeight="1">
      <c r="A3" s="761" t="s">
        <v>98</v>
      </c>
      <c r="B3" s="761"/>
      <c r="C3" s="761" t="s">
        <v>163</v>
      </c>
      <c r="D3" s="759" t="s">
        <v>164</v>
      </c>
      <c r="E3" s="759" t="s">
        <v>165</v>
      </c>
      <c r="F3" s="759" t="s">
        <v>88</v>
      </c>
      <c r="G3" s="759" t="s">
        <v>135</v>
      </c>
      <c r="H3" s="759" t="s">
        <v>90</v>
      </c>
      <c r="I3" s="759" t="s">
        <v>65</v>
      </c>
      <c r="J3" s="759" t="s">
        <v>166</v>
      </c>
    </row>
    <row r="4" spans="1:10" s="68" customFormat="1" ht="22.5" customHeight="1">
      <c r="A4" s="761"/>
      <c r="B4" s="761"/>
      <c r="C4" s="761"/>
      <c r="D4" s="759"/>
      <c r="E4" s="759"/>
      <c r="F4" s="759"/>
      <c r="G4" s="759"/>
      <c r="H4" s="759"/>
      <c r="I4" s="759"/>
      <c r="J4" s="759"/>
    </row>
    <row r="5" spans="1:10" ht="14">
      <c r="A5" s="238">
        <v>2011</v>
      </c>
      <c r="B5" s="272" t="s">
        <v>105</v>
      </c>
      <c r="C5" s="287">
        <f>SUM(D5:J5)</f>
        <v>3764.9300000000003</v>
      </c>
      <c r="D5" s="287">
        <v>434.8</v>
      </c>
      <c r="E5" s="287">
        <v>1861.7</v>
      </c>
      <c r="F5" s="287">
        <v>603.47</v>
      </c>
      <c r="G5" s="287">
        <v>0</v>
      </c>
      <c r="H5" s="288">
        <v>57.1</v>
      </c>
      <c r="I5" s="287">
        <v>43.53</v>
      </c>
      <c r="J5" s="289">
        <v>764.33</v>
      </c>
    </row>
    <row r="6" spans="1:10" ht="14">
      <c r="A6" s="239"/>
      <c r="B6" s="273" t="s">
        <v>106</v>
      </c>
      <c r="C6" s="290">
        <f>SUM(D6:J6)</f>
        <v>3770.62</v>
      </c>
      <c r="D6" s="290">
        <v>433.61</v>
      </c>
      <c r="E6" s="290">
        <v>1871.32</v>
      </c>
      <c r="F6" s="290">
        <v>601.87</v>
      </c>
      <c r="G6" s="290">
        <v>0</v>
      </c>
      <c r="H6" s="291">
        <v>57.09</v>
      </c>
      <c r="I6" s="290">
        <v>43.53</v>
      </c>
      <c r="J6" s="292">
        <v>763.2</v>
      </c>
    </row>
    <row r="7" spans="1:10" ht="14">
      <c r="A7" s="239"/>
      <c r="B7" s="273" t="s">
        <v>107</v>
      </c>
      <c r="C7" s="290">
        <f>SUM(D7:J7)</f>
        <v>3770.29</v>
      </c>
      <c r="D7" s="290">
        <v>431.95</v>
      </c>
      <c r="E7" s="290">
        <v>1863.84</v>
      </c>
      <c r="F7" s="290">
        <v>613.12</v>
      </c>
      <c r="G7" s="290">
        <v>0</v>
      </c>
      <c r="H7" s="291">
        <v>56.32</v>
      </c>
      <c r="I7" s="290">
        <v>43.53</v>
      </c>
      <c r="J7" s="292">
        <v>761.53</v>
      </c>
    </row>
    <row r="8" spans="1:10" ht="14">
      <c r="A8" s="239"/>
      <c r="B8" s="273" t="s">
        <v>108</v>
      </c>
      <c r="C8" s="290">
        <f>SUM(D8:J8)</f>
        <v>3779.16</v>
      </c>
      <c r="D8" s="290">
        <v>430.64</v>
      </c>
      <c r="E8" s="290">
        <v>1863.63</v>
      </c>
      <c r="F8" s="290">
        <v>611.87</v>
      </c>
      <c r="G8" s="290">
        <v>0</v>
      </c>
      <c r="H8" s="291">
        <v>60.69</v>
      </c>
      <c r="I8" s="290">
        <v>43.53</v>
      </c>
      <c r="J8" s="292">
        <v>768.8</v>
      </c>
    </row>
    <row r="9" spans="1:10" ht="14">
      <c r="A9" s="239"/>
      <c r="B9" s="273" t="s">
        <v>109</v>
      </c>
      <c r="C9" s="290">
        <f>SUM(D9:J9)</f>
        <v>3859.51</v>
      </c>
      <c r="D9" s="290">
        <v>427.08</v>
      </c>
      <c r="E9" s="290">
        <v>1939.94</v>
      </c>
      <c r="F9" s="290">
        <v>627.13</v>
      </c>
      <c r="G9" s="290">
        <v>0</v>
      </c>
      <c r="H9" s="291">
        <v>56.6</v>
      </c>
      <c r="I9" s="290">
        <v>43.53</v>
      </c>
      <c r="J9" s="292">
        <v>765.23</v>
      </c>
    </row>
    <row r="10" spans="1:10" ht="14">
      <c r="A10" s="239"/>
      <c r="B10" s="273" t="s">
        <v>110</v>
      </c>
      <c r="C10" s="290">
        <f t="shared" ref="C10:C70" si="0">SUM(D10:J10)</f>
        <v>3832.69</v>
      </c>
      <c r="D10" s="290">
        <v>425.75</v>
      </c>
      <c r="E10" s="290">
        <v>1921.51</v>
      </c>
      <c r="F10" s="290">
        <v>622.32000000000005</v>
      </c>
      <c r="G10" s="290">
        <v>0</v>
      </c>
      <c r="H10" s="291">
        <v>55.6</v>
      </c>
      <c r="I10" s="290">
        <v>43.62</v>
      </c>
      <c r="J10" s="292">
        <v>763.89</v>
      </c>
    </row>
    <row r="11" spans="1:10" ht="14">
      <c r="A11" s="239"/>
      <c r="B11" s="273" t="s">
        <v>111</v>
      </c>
      <c r="C11" s="290">
        <f t="shared" si="0"/>
        <v>3824.54</v>
      </c>
      <c r="D11" s="290">
        <v>416.68</v>
      </c>
      <c r="E11" s="290">
        <v>1909.14</v>
      </c>
      <c r="F11" s="290">
        <v>639.16</v>
      </c>
      <c r="G11" s="290">
        <v>0</v>
      </c>
      <c r="H11" s="291">
        <v>53.64</v>
      </c>
      <c r="I11" s="290">
        <v>51.13</v>
      </c>
      <c r="J11" s="292">
        <v>754.79</v>
      </c>
    </row>
    <row r="12" spans="1:10" ht="14">
      <c r="A12" s="239"/>
      <c r="B12" s="273" t="s">
        <v>112</v>
      </c>
      <c r="C12" s="290">
        <f t="shared" si="0"/>
        <v>4034.2400000000002</v>
      </c>
      <c r="D12" s="290">
        <v>419.6</v>
      </c>
      <c r="E12" s="290">
        <v>1988.94</v>
      </c>
      <c r="F12" s="290">
        <v>767.25</v>
      </c>
      <c r="G12" s="290">
        <v>0</v>
      </c>
      <c r="H12" s="291">
        <v>48.38</v>
      </c>
      <c r="I12" s="290">
        <v>52.38</v>
      </c>
      <c r="J12" s="292">
        <v>757.69</v>
      </c>
    </row>
    <row r="13" spans="1:10" ht="14">
      <c r="A13" s="239"/>
      <c r="B13" s="273" t="s">
        <v>113</v>
      </c>
      <c r="C13" s="290">
        <f t="shared" si="0"/>
        <v>4051.87</v>
      </c>
      <c r="D13" s="290">
        <v>584.14</v>
      </c>
      <c r="E13" s="290">
        <v>1816.37</v>
      </c>
      <c r="F13" s="290">
        <v>771.02</v>
      </c>
      <c r="G13" s="290">
        <v>0</v>
      </c>
      <c r="H13" s="291">
        <v>50.28</v>
      </c>
      <c r="I13" s="290">
        <v>52.61</v>
      </c>
      <c r="J13" s="292">
        <v>777.45</v>
      </c>
    </row>
    <row r="14" spans="1:10" ht="14">
      <c r="A14" s="239"/>
      <c r="B14" s="273" t="s">
        <v>114</v>
      </c>
      <c r="C14" s="290">
        <f t="shared" si="0"/>
        <v>4062.1099999999997</v>
      </c>
      <c r="D14" s="290">
        <v>579.21</v>
      </c>
      <c r="E14" s="290">
        <v>1864.06</v>
      </c>
      <c r="F14" s="290">
        <v>763.52</v>
      </c>
      <c r="G14" s="290">
        <v>0</v>
      </c>
      <c r="H14" s="291">
        <v>54.22</v>
      </c>
      <c r="I14" s="290">
        <v>52.72</v>
      </c>
      <c r="J14" s="292">
        <v>748.38</v>
      </c>
    </row>
    <row r="15" spans="1:10" ht="14">
      <c r="A15" s="239"/>
      <c r="B15" s="273" t="s">
        <v>115</v>
      </c>
      <c r="C15" s="290">
        <f t="shared" si="0"/>
        <v>4152.01</v>
      </c>
      <c r="D15" s="290">
        <v>588.39</v>
      </c>
      <c r="E15" s="290">
        <v>1933.41</v>
      </c>
      <c r="F15" s="290">
        <v>768.44</v>
      </c>
      <c r="G15" s="290">
        <v>0</v>
      </c>
      <c r="H15" s="291">
        <v>53.95</v>
      </c>
      <c r="I15" s="290">
        <v>53.41</v>
      </c>
      <c r="J15" s="292">
        <v>754.41</v>
      </c>
    </row>
    <row r="16" spans="1:10" ht="14">
      <c r="A16" s="240"/>
      <c r="B16" s="274" t="s">
        <v>116</v>
      </c>
      <c r="C16" s="293">
        <f t="shared" si="0"/>
        <v>4730.5599999999995</v>
      </c>
      <c r="D16" s="293">
        <v>568.26</v>
      </c>
      <c r="E16" s="293">
        <v>2658.35</v>
      </c>
      <c r="F16" s="293">
        <v>636.02</v>
      </c>
      <c r="G16" s="293">
        <v>0</v>
      </c>
      <c r="H16" s="294">
        <v>53.97</v>
      </c>
      <c r="I16" s="293">
        <v>52.74</v>
      </c>
      <c r="J16" s="295">
        <v>761.22</v>
      </c>
    </row>
    <row r="17" spans="1:10" ht="14">
      <c r="A17" s="239">
        <v>2012</v>
      </c>
      <c r="B17" s="273" t="s">
        <v>105</v>
      </c>
      <c r="C17" s="290">
        <f t="shared" si="0"/>
        <v>4018.99</v>
      </c>
      <c r="D17" s="290">
        <v>557.27</v>
      </c>
      <c r="E17" s="290">
        <v>1967.86</v>
      </c>
      <c r="F17" s="290">
        <v>635.46</v>
      </c>
      <c r="G17" s="290">
        <v>0</v>
      </c>
      <c r="H17" s="291">
        <v>54.96</v>
      </c>
      <c r="I17" s="290">
        <v>52.49</v>
      </c>
      <c r="J17" s="292">
        <v>750.95</v>
      </c>
    </row>
    <row r="18" spans="1:10" ht="14">
      <c r="A18" s="239"/>
      <c r="B18" s="273" t="s">
        <v>106</v>
      </c>
      <c r="C18" s="290">
        <f t="shared" si="0"/>
        <v>4152.4400000000005</v>
      </c>
      <c r="D18" s="290">
        <v>556.16999999999996</v>
      </c>
      <c r="E18" s="290">
        <v>2104.27</v>
      </c>
      <c r="F18" s="290">
        <v>632.03</v>
      </c>
      <c r="G18" s="290">
        <v>0</v>
      </c>
      <c r="H18" s="291">
        <v>57.17</v>
      </c>
      <c r="I18" s="290">
        <v>52.84</v>
      </c>
      <c r="J18" s="292">
        <v>749.96</v>
      </c>
    </row>
    <row r="19" spans="1:10" ht="14">
      <c r="A19" s="239"/>
      <c r="B19" s="273" t="s">
        <v>107</v>
      </c>
      <c r="C19" s="290">
        <f t="shared" si="0"/>
        <v>4371.0600000000004</v>
      </c>
      <c r="D19" s="290">
        <v>557.58000000000004</v>
      </c>
      <c r="E19" s="290">
        <v>2311.9</v>
      </c>
      <c r="F19" s="290">
        <v>649.14</v>
      </c>
      <c r="G19" s="290">
        <v>0</v>
      </c>
      <c r="H19" s="291">
        <v>57.8</v>
      </c>
      <c r="I19" s="290">
        <v>52.96</v>
      </c>
      <c r="J19" s="292">
        <v>741.68</v>
      </c>
    </row>
    <row r="20" spans="1:10" ht="14">
      <c r="A20" s="239"/>
      <c r="B20" s="273" t="s">
        <v>108</v>
      </c>
      <c r="C20" s="290">
        <f t="shared" si="0"/>
        <v>5357.47</v>
      </c>
      <c r="D20" s="290">
        <v>551.26</v>
      </c>
      <c r="E20" s="290">
        <v>3226.42</v>
      </c>
      <c r="F20" s="290">
        <v>734.88</v>
      </c>
      <c r="G20" s="290">
        <v>0</v>
      </c>
      <c r="H20" s="291">
        <v>56.07</v>
      </c>
      <c r="I20" s="290">
        <v>53.46</v>
      </c>
      <c r="J20" s="292">
        <v>735.38</v>
      </c>
    </row>
    <row r="21" spans="1:10" ht="14">
      <c r="A21" s="239"/>
      <c r="B21" s="273" t="s">
        <v>109</v>
      </c>
      <c r="C21" s="290">
        <f t="shared" si="0"/>
        <v>5102.2299999999996</v>
      </c>
      <c r="D21" s="290">
        <v>557.16</v>
      </c>
      <c r="E21" s="290">
        <v>2854.08</v>
      </c>
      <c r="F21" s="290">
        <v>845.16</v>
      </c>
      <c r="G21" s="290">
        <v>0</v>
      </c>
      <c r="H21" s="291">
        <v>51.14</v>
      </c>
      <c r="I21" s="290">
        <v>53.41</v>
      </c>
      <c r="J21" s="292">
        <v>741.28</v>
      </c>
    </row>
    <row r="22" spans="1:10" ht="14">
      <c r="A22" s="239"/>
      <c r="B22" s="273" t="s">
        <v>110</v>
      </c>
      <c r="C22" s="290">
        <f t="shared" si="0"/>
        <v>5137.7999999999993</v>
      </c>
      <c r="D22" s="290">
        <v>554.42999999999995</v>
      </c>
      <c r="E22" s="290">
        <v>2815.42</v>
      </c>
      <c r="F22" s="290">
        <v>925.67</v>
      </c>
      <c r="G22" s="290">
        <v>0</v>
      </c>
      <c r="H22" s="291">
        <v>52.64</v>
      </c>
      <c r="I22" s="290">
        <v>51.15</v>
      </c>
      <c r="J22" s="292">
        <v>738.49</v>
      </c>
    </row>
    <row r="23" spans="1:10" ht="14">
      <c r="A23" s="239"/>
      <c r="B23" s="273" t="s">
        <v>111</v>
      </c>
      <c r="C23" s="290">
        <f t="shared" si="0"/>
        <v>5050.8100000000004</v>
      </c>
      <c r="D23" s="290">
        <v>542.65</v>
      </c>
      <c r="E23" s="290">
        <v>2693.75</v>
      </c>
      <c r="F23" s="290">
        <v>981.58</v>
      </c>
      <c r="G23" s="290">
        <v>0</v>
      </c>
      <c r="H23" s="291">
        <v>55.04</v>
      </c>
      <c r="I23" s="290">
        <v>51.09</v>
      </c>
      <c r="J23" s="292">
        <v>726.7</v>
      </c>
    </row>
    <row r="24" spans="1:10" ht="14">
      <c r="A24" s="239"/>
      <c r="B24" s="273" t="s">
        <v>112</v>
      </c>
      <c r="C24" s="290">
        <f t="shared" si="0"/>
        <v>4855.7000000000007</v>
      </c>
      <c r="D24" s="290">
        <v>610.84</v>
      </c>
      <c r="E24" s="290">
        <v>2405.02</v>
      </c>
      <c r="F24" s="290">
        <v>1000.17</v>
      </c>
      <c r="G24" s="290">
        <v>0</v>
      </c>
      <c r="H24" s="291">
        <v>57.36</v>
      </c>
      <c r="I24" s="290">
        <v>50.38</v>
      </c>
      <c r="J24" s="292">
        <v>731.93</v>
      </c>
    </row>
    <row r="25" spans="1:10" ht="14">
      <c r="A25" s="239"/>
      <c r="B25" s="273" t="s">
        <v>113</v>
      </c>
      <c r="C25" s="290">
        <f t="shared" si="0"/>
        <v>4630.05</v>
      </c>
      <c r="D25" s="290">
        <v>607.33000000000004</v>
      </c>
      <c r="E25" s="290">
        <v>1989.94</v>
      </c>
      <c r="F25" s="290">
        <v>1160.1199999999999</v>
      </c>
      <c r="G25" s="290">
        <v>0</v>
      </c>
      <c r="H25" s="291">
        <v>58.43</v>
      </c>
      <c r="I25" s="290">
        <v>51.61</v>
      </c>
      <c r="J25" s="292">
        <v>762.62</v>
      </c>
    </row>
    <row r="26" spans="1:10" ht="14">
      <c r="A26" s="239"/>
      <c r="B26" s="273" t="s">
        <v>114</v>
      </c>
      <c r="C26" s="290">
        <f t="shared" si="0"/>
        <v>5195.3</v>
      </c>
      <c r="D26" s="290">
        <v>605.27</v>
      </c>
      <c r="E26" s="290">
        <v>2602.44</v>
      </c>
      <c r="F26" s="290">
        <v>1449.63</v>
      </c>
      <c r="G26" s="290">
        <v>0</v>
      </c>
      <c r="H26" s="291">
        <v>60.55</v>
      </c>
      <c r="I26" s="290">
        <v>50.79</v>
      </c>
      <c r="J26" s="292">
        <v>426.62</v>
      </c>
    </row>
    <row r="27" spans="1:10" ht="14">
      <c r="A27" s="239"/>
      <c r="B27" s="273" t="s">
        <v>115</v>
      </c>
      <c r="C27" s="290">
        <f t="shared" si="0"/>
        <v>4705.51</v>
      </c>
      <c r="D27" s="290">
        <v>603.89</v>
      </c>
      <c r="E27" s="290">
        <v>2019.93</v>
      </c>
      <c r="F27" s="290">
        <v>1544.57</v>
      </c>
      <c r="G27" s="290">
        <v>0</v>
      </c>
      <c r="H27" s="291">
        <v>61.05</v>
      </c>
      <c r="I27" s="290">
        <v>50.86</v>
      </c>
      <c r="J27" s="292">
        <v>425.21</v>
      </c>
    </row>
    <row r="28" spans="1:10" ht="14">
      <c r="A28" s="240"/>
      <c r="B28" s="274" t="s">
        <v>116</v>
      </c>
      <c r="C28" s="293">
        <f t="shared" si="0"/>
        <v>4931.1399999999994</v>
      </c>
      <c r="D28" s="293">
        <v>606.53</v>
      </c>
      <c r="E28" s="293">
        <v>2122.64</v>
      </c>
      <c r="F28" s="293">
        <v>1621.79</v>
      </c>
      <c r="G28" s="293">
        <v>0</v>
      </c>
      <c r="H28" s="294">
        <v>62.19</v>
      </c>
      <c r="I28" s="293">
        <v>92.69</v>
      </c>
      <c r="J28" s="295">
        <v>425.3</v>
      </c>
    </row>
    <row r="29" spans="1:10" ht="14">
      <c r="A29" s="239">
        <v>2013</v>
      </c>
      <c r="B29" s="251" t="s">
        <v>105</v>
      </c>
      <c r="C29" s="290">
        <f t="shared" si="0"/>
        <v>5395.7499999999991</v>
      </c>
      <c r="D29" s="290">
        <v>649.05999999999995</v>
      </c>
      <c r="E29" s="290">
        <v>2415.56</v>
      </c>
      <c r="F29" s="290">
        <v>1776.91</v>
      </c>
      <c r="G29" s="296">
        <v>0</v>
      </c>
      <c r="H29" s="291">
        <v>65.73</v>
      </c>
      <c r="I29" s="290">
        <v>56.95</v>
      </c>
      <c r="J29" s="292">
        <v>431.54</v>
      </c>
    </row>
    <row r="30" spans="1:10" ht="14">
      <c r="A30" s="239"/>
      <c r="B30" s="251" t="s">
        <v>106</v>
      </c>
      <c r="C30" s="290">
        <f t="shared" si="0"/>
        <v>5065.7999999999993</v>
      </c>
      <c r="D30" s="290">
        <v>641.1</v>
      </c>
      <c r="E30" s="290">
        <v>1616.66</v>
      </c>
      <c r="F30" s="296">
        <v>2262.1999999999998</v>
      </c>
      <c r="G30" s="296">
        <v>0</v>
      </c>
      <c r="H30" s="291">
        <v>65.19</v>
      </c>
      <c r="I30" s="290">
        <v>56.94</v>
      </c>
      <c r="J30" s="292">
        <v>423.71</v>
      </c>
    </row>
    <row r="31" spans="1:10" ht="14">
      <c r="A31" s="239"/>
      <c r="B31" s="251" t="s">
        <v>107</v>
      </c>
      <c r="C31" s="290">
        <f t="shared" si="0"/>
        <v>5291.38</v>
      </c>
      <c r="D31" s="290">
        <v>638.97</v>
      </c>
      <c r="E31" s="290">
        <v>1395.24</v>
      </c>
      <c r="F31" s="296">
        <v>2711.35</v>
      </c>
      <c r="G31" s="296">
        <v>0</v>
      </c>
      <c r="H31" s="297">
        <v>65.92</v>
      </c>
      <c r="I31" s="290">
        <v>57.05</v>
      </c>
      <c r="J31" s="292">
        <v>422.85</v>
      </c>
    </row>
    <row r="32" spans="1:10" ht="14">
      <c r="A32" s="239"/>
      <c r="B32" s="251" t="s">
        <v>108</v>
      </c>
      <c r="C32" s="290">
        <f t="shared" si="0"/>
        <v>5245.83</v>
      </c>
      <c r="D32" s="290">
        <v>638.86</v>
      </c>
      <c r="E32" s="290">
        <v>869.04</v>
      </c>
      <c r="F32" s="296">
        <v>3194.15</v>
      </c>
      <c r="G32" s="296">
        <v>0</v>
      </c>
      <c r="H32" s="297">
        <v>63.12</v>
      </c>
      <c r="I32" s="290">
        <v>57.87</v>
      </c>
      <c r="J32" s="292">
        <v>422.79</v>
      </c>
    </row>
    <row r="33" spans="1:10" ht="14">
      <c r="A33" s="239"/>
      <c r="B33" s="251" t="s">
        <v>109</v>
      </c>
      <c r="C33" s="290">
        <f t="shared" si="0"/>
        <v>4983.76</v>
      </c>
      <c r="D33" s="290">
        <v>644.91999999999996</v>
      </c>
      <c r="E33" s="290">
        <v>790.48</v>
      </c>
      <c r="F33" s="296">
        <v>2997.75</v>
      </c>
      <c r="G33" s="296">
        <v>0</v>
      </c>
      <c r="H33" s="297">
        <v>63.93</v>
      </c>
      <c r="I33" s="290">
        <v>57.77</v>
      </c>
      <c r="J33" s="292">
        <v>428.91</v>
      </c>
    </row>
    <row r="34" spans="1:10" ht="14">
      <c r="A34" s="239"/>
      <c r="B34" s="251" t="s">
        <v>110</v>
      </c>
      <c r="C34" s="290">
        <f t="shared" si="0"/>
        <v>5015.03</v>
      </c>
      <c r="D34" s="290">
        <v>647.61</v>
      </c>
      <c r="E34" s="290">
        <v>733.24</v>
      </c>
      <c r="F34" s="296">
        <v>3083.72</v>
      </c>
      <c r="G34" s="296">
        <v>0</v>
      </c>
      <c r="H34" s="297">
        <v>58.02</v>
      </c>
      <c r="I34" s="290">
        <v>60.7</v>
      </c>
      <c r="J34" s="292">
        <v>431.74</v>
      </c>
    </row>
    <row r="35" spans="1:10" ht="14">
      <c r="A35" s="239"/>
      <c r="B35" s="251" t="s">
        <v>117</v>
      </c>
      <c r="C35" s="290">
        <f t="shared" si="0"/>
        <v>4937.8</v>
      </c>
      <c r="D35" s="290">
        <v>652.98</v>
      </c>
      <c r="E35" s="290">
        <v>721.44</v>
      </c>
      <c r="F35" s="296">
        <v>2972.22</v>
      </c>
      <c r="G35" s="296">
        <v>0</v>
      </c>
      <c r="H35" s="297">
        <v>70.099999999999994</v>
      </c>
      <c r="I35" s="290">
        <v>84.22</v>
      </c>
      <c r="J35" s="292">
        <v>436.84</v>
      </c>
    </row>
    <row r="36" spans="1:10" ht="14">
      <c r="A36" s="239"/>
      <c r="B36" s="251" t="s">
        <v>112</v>
      </c>
      <c r="C36" s="290">
        <f t="shared" si="0"/>
        <v>4925.72</v>
      </c>
      <c r="D36" s="290">
        <v>703.57</v>
      </c>
      <c r="E36" s="290">
        <v>689.8</v>
      </c>
      <c r="F36" s="296">
        <v>2961.76</v>
      </c>
      <c r="G36" s="296">
        <v>0</v>
      </c>
      <c r="H36" s="297">
        <v>68.63</v>
      </c>
      <c r="I36" s="290">
        <v>63.71</v>
      </c>
      <c r="J36" s="292">
        <v>438.25</v>
      </c>
    </row>
    <row r="37" spans="1:10" ht="14">
      <c r="A37" s="239"/>
      <c r="B37" s="251" t="s">
        <v>113</v>
      </c>
      <c r="C37" s="290">
        <f t="shared" si="0"/>
        <v>5001.4399999999996</v>
      </c>
      <c r="D37" s="290">
        <v>702.62</v>
      </c>
      <c r="E37" s="290">
        <v>766.86</v>
      </c>
      <c r="F37" s="296">
        <v>2960.14</v>
      </c>
      <c r="G37" s="296">
        <v>0</v>
      </c>
      <c r="H37" s="297">
        <v>70.650000000000006</v>
      </c>
      <c r="I37" s="290">
        <v>63.82</v>
      </c>
      <c r="J37" s="292">
        <v>437.35</v>
      </c>
    </row>
    <row r="38" spans="1:10" ht="14">
      <c r="A38" s="239"/>
      <c r="B38" s="251" t="s">
        <v>114</v>
      </c>
      <c r="C38" s="290">
        <f t="shared" si="0"/>
        <v>5247.17</v>
      </c>
      <c r="D38" s="290">
        <v>699.38</v>
      </c>
      <c r="E38" s="290">
        <v>809.96</v>
      </c>
      <c r="F38" s="296">
        <v>3166.76</v>
      </c>
      <c r="G38" s="296">
        <v>0</v>
      </c>
      <c r="H38" s="297">
        <v>74.38</v>
      </c>
      <c r="I38" s="290">
        <v>63.79</v>
      </c>
      <c r="J38" s="292">
        <v>432.9</v>
      </c>
    </row>
    <row r="39" spans="1:10" ht="14">
      <c r="A39" s="239"/>
      <c r="B39" s="251" t="s">
        <v>115</v>
      </c>
      <c r="C39" s="290">
        <f t="shared" si="0"/>
        <v>4942.3999999999987</v>
      </c>
      <c r="D39" s="290">
        <v>701.34</v>
      </c>
      <c r="E39" s="290">
        <v>842.41</v>
      </c>
      <c r="F39" s="296">
        <v>2822.72</v>
      </c>
      <c r="G39" s="296">
        <v>0</v>
      </c>
      <c r="H39" s="297">
        <v>76.78</v>
      </c>
      <c r="I39" s="290">
        <v>64.209999999999994</v>
      </c>
      <c r="J39" s="292">
        <v>434.94</v>
      </c>
    </row>
    <row r="40" spans="1:10" ht="14">
      <c r="A40" s="240"/>
      <c r="B40" s="252" t="s">
        <v>116</v>
      </c>
      <c r="C40" s="293">
        <f t="shared" si="0"/>
        <v>4947.41</v>
      </c>
      <c r="D40" s="293">
        <v>645.24</v>
      </c>
      <c r="E40" s="293">
        <v>995.86</v>
      </c>
      <c r="F40" s="298">
        <v>2721.32</v>
      </c>
      <c r="G40" s="298">
        <v>0</v>
      </c>
      <c r="H40" s="299">
        <v>78.569999999999993</v>
      </c>
      <c r="I40" s="293">
        <v>64.78</v>
      </c>
      <c r="J40" s="295">
        <v>441.64</v>
      </c>
    </row>
    <row r="41" spans="1:10" ht="14">
      <c r="A41" s="239">
        <v>2014</v>
      </c>
      <c r="B41" s="273" t="s">
        <v>105</v>
      </c>
      <c r="C41" s="290">
        <f t="shared" si="0"/>
        <v>5101.8999999999996</v>
      </c>
      <c r="D41" s="290">
        <v>646.4</v>
      </c>
      <c r="E41" s="290">
        <v>940.26</v>
      </c>
      <c r="F41" s="296">
        <v>2946.98</v>
      </c>
      <c r="G41" s="296">
        <v>0</v>
      </c>
      <c r="H41" s="297">
        <v>60.68</v>
      </c>
      <c r="I41" s="290">
        <v>64.86</v>
      </c>
      <c r="J41" s="292">
        <v>442.72</v>
      </c>
    </row>
    <row r="42" spans="1:10" ht="14">
      <c r="A42" s="239"/>
      <c r="B42" s="273" t="s">
        <v>106</v>
      </c>
      <c r="C42" s="290">
        <f t="shared" si="0"/>
        <v>4877.9800000000005</v>
      </c>
      <c r="D42" s="290">
        <v>646.58000000000004</v>
      </c>
      <c r="E42" s="290">
        <v>1145.9000000000001</v>
      </c>
      <c r="F42" s="296">
        <v>2514.3000000000002</v>
      </c>
      <c r="G42" s="296">
        <v>0</v>
      </c>
      <c r="H42" s="297">
        <v>62.99</v>
      </c>
      <c r="I42" s="290">
        <v>65.099999999999994</v>
      </c>
      <c r="J42" s="292">
        <v>443.11</v>
      </c>
    </row>
    <row r="43" spans="1:10" ht="14">
      <c r="A43" s="239"/>
      <c r="B43" s="273" t="s">
        <v>107</v>
      </c>
      <c r="C43" s="290">
        <f t="shared" si="0"/>
        <v>4633.3</v>
      </c>
      <c r="D43" s="290">
        <v>643.85</v>
      </c>
      <c r="E43" s="290">
        <v>1170.27</v>
      </c>
      <c r="F43" s="296">
        <v>2251.3200000000002</v>
      </c>
      <c r="G43" s="296">
        <v>0</v>
      </c>
      <c r="H43" s="297">
        <v>62.13</v>
      </c>
      <c r="I43" s="290">
        <v>65.59</v>
      </c>
      <c r="J43" s="292">
        <v>440.14</v>
      </c>
    </row>
    <row r="44" spans="1:10" ht="14">
      <c r="A44" s="239"/>
      <c r="B44" s="273" t="s">
        <v>108</v>
      </c>
      <c r="C44" s="290">
        <f t="shared" si="0"/>
        <v>4783.01</v>
      </c>
      <c r="D44" s="290">
        <v>643.61</v>
      </c>
      <c r="E44" s="290">
        <v>1060.32</v>
      </c>
      <c r="F44" s="296">
        <v>2507.4</v>
      </c>
      <c r="G44" s="296">
        <v>0</v>
      </c>
      <c r="H44" s="297">
        <v>66.3</v>
      </c>
      <c r="I44" s="290">
        <v>65.349999999999994</v>
      </c>
      <c r="J44" s="292">
        <v>440.03</v>
      </c>
    </row>
    <row r="45" spans="1:10" ht="14">
      <c r="A45" s="239"/>
      <c r="B45" s="273" t="s">
        <v>109</v>
      </c>
      <c r="C45" s="290">
        <f t="shared" si="0"/>
        <v>4610.95</v>
      </c>
      <c r="D45" s="290">
        <v>640.54999999999995</v>
      </c>
      <c r="E45" s="290">
        <v>983.92</v>
      </c>
      <c r="F45" s="290">
        <v>2410.96</v>
      </c>
      <c r="G45" s="296">
        <v>0</v>
      </c>
      <c r="H45" s="297">
        <v>73.23</v>
      </c>
      <c r="I45" s="290">
        <v>65.290000000000006</v>
      </c>
      <c r="J45" s="292">
        <v>437</v>
      </c>
    </row>
    <row r="46" spans="1:10" ht="14">
      <c r="A46" s="239"/>
      <c r="B46" s="273" t="s">
        <v>110</v>
      </c>
      <c r="C46" s="290">
        <f t="shared" si="0"/>
        <v>4738.99</v>
      </c>
      <c r="D46" s="290">
        <v>640.08000000000004</v>
      </c>
      <c r="E46" s="290">
        <v>1078.68</v>
      </c>
      <c r="F46" s="290">
        <v>2443.7600000000002</v>
      </c>
      <c r="G46" s="296">
        <v>0</v>
      </c>
      <c r="H46" s="297">
        <v>73.78</v>
      </c>
      <c r="I46" s="290">
        <v>66.19</v>
      </c>
      <c r="J46" s="292">
        <v>436.5</v>
      </c>
    </row>
    <row r="47" spans="1:10" ht="14">
      <c r="A47" s="239"/>
      <c r="B47" s="273" t="s">
        <v>117</v>
      </c>
      <c r="C47" s="290">
        <f t="shared" si="0"/>
        <v>4837.8900000000003</v>
      </c>
      <c r="D47" s="290">
        <v>634.87</v>
      </c>
      <c r="E47" s="290">
        <v>1075.8399999999999</v>
      </c>
      <c r="F47" s="290">
        <v>2556.79</v>
      </c>
      <c r="G47" s="296">
        <v>0</v>
      </c>
      <c r="H47" s="297">
        <v>72.83</v>
      </c>
      <c r="I47" s="290">
        <v>66.260000000000005</v>
      </c>
      <c r="J47" s="292">
        <v>431.3</v>
      </c>
    </row>
    <row r="48" spans="1:10" ht="14">
      <c r="A48" s="239"/>
      <c r="B48" s="273" t="s">
        <v>112</v>
      </c>
      <c r="C48" s="290">
        <f t="shared" si="0"/>
        <v>4966.7399999999989</v>
      </c>
      <c r="D48" s="290">
        <v>632.72</v>
      </c>
      <c r="E48" s="290">
        <v>1143.4100000000001</v>
      </c>
      <c r="F48" s="290">
        <v>2624.18</v>
      </c>
      <c r="G48" s="296">
        <v>0</v>
      </c>
      <c r="H48" s="297">
        <v>70.88</v>
      </c>
      <c r="I48" s="290">
        <v>66.19</v>
      </c>
      <c r="J48" s="292">
        <v>429.36</v>
      </c>
    </row>
    <row r="49" spans="1:10" ht="14">
      <c r="A49" s="239"/>
      <c r="B49" s="273" t="s">
        <v>113</v>
      </c>
      <c r="C49" s="290">
        <f t="shared" si="0"/>
        <v>5048.66</v>
      </c>
      <c r="D49" s="290">
        <v>632.72</v>
      </c>
      <c r="E49" s="290">
        <v>921.6</v>
      </c>
      <c r="F49" s="290">
        <v>2927.99</v>
      </c>
      <c r="G49" s="290">
        <v>0</v>
      </c>
      <c r="H49" s="297">
        <v>70.81</v>
      </c>
      <c r="I49" s="290">
        <v>66.27</v>
      </c>
      <c r="J49" s="292">
        <v>429.27</v>
      </c>
    </row>
    <row r="50" spans="1:10" ht="14">
      <c r="A50" s="239"/>
      <c r="B50" s="273" t="s">
        <v>114</v>
      </c>
      <c r="C50" s="290">
        <f t="shared" si="0"/>
        <v>4699.0199999999995</v>
      </c>
      <c r="D50" s="290">
        <v>631.07000000000005</v>
      </c>
      <c r="E50" s="290">
        <v>803.28</v>
      </c>
      <c r="F50" s="297">
        <v>2720.72</v>
      </c>
      <c r="G50" s="290">
        <v>0</v>
      </c>
      <c r="H50" s="297">
        <v>49.82</v>
      </c>
      <c r="I50" s="290">
        <v>66.430000000000007</v>
      </c>
      <c r="J50" s="292">
        <v>427.7</v>
      </c>
    </row>
    <row r="51" spans="1:10" ht="14">
      <c r="A51" s="239"/>
      <c r="B51" s="273" t="s">
        <v>115</v>
      </c>
      <c r="C51" s="290">
        <f t="shared" si="0"/>
        <v>4704.4500000000007</v>
      </c>
      <c r="D51" s="290">
        <v>634.28</v>
      </c>
      <c r="E51" s="290">
        <v>828.22</v>
      </c>
      <c r="F51" s="297">
        <v>2693.94</v>
      </c>
      <c r="G51" s="290">
        <v>0</v>
      </c>
      <c r="H51" s="297">
        <v>50.58</v>
      </c>
      <c r="I51" s="290">
        <v>66.64</v>
      </c>
      <c r="J51" s="292">
        <v>430.79</v>
      </c>
    </row>
    <row r="52" spans="1:10" ht="14">
      <c r="A52" s="240"/>
      <c r="B52" s="274" t="s">
        <v>116</v>
      </c>
      <c r="C52" s="293">
        <f t="shared" si="0"/>
        <v>5240.59</v>
      </c>
      <c r="D52" s="293">
        <v>647.79999999999995</v>
      </c>
      <c r="E52" s="293">
        <v>918.01</v>
      </c>
      <c r="F52" s="299">
        <v>3124.23</v>
      </c>
      <c r="G52" s="293">
        <v>0</v>
      </c>
      <c r="H52" s="299">
        <v>50.04</v>
      </c>
      <c r="I52" s="293">
        <v>66.95</v>
      </c>
      <c r="J52" s="295">
        <v>433.56</v>
      </c>
    </row>
    <row r="53" spans="1:10" ht="14">
      <c r="A53" s="239">
        <v>2015</v>
      </c>
      <c r="B53" s="273" t="s">
        <v>105</v>
      </c>
      <c r="C53" s="290">
        <f t="shared" si="0"/>
        <v>5026.43</v>
      </c>
      <c r="D53" s="290">
        <v>647.79999999999995</v>
      </c>
      <c r="E53" s="290">
        <v>770.52</v>
      </c>
      <c r="F53" s="297">
        <v>3055.07</v>
      </c>
      <c r="G53" s="290">
        <v>0</v>
      </c>
      <c r="H53" s="297">
        <v>52.55</v>
      </c>
      <c r="I53" s="290">
        <v>66.959999999999994</v>
      </c>
      <c r="J53" s="292">
        <v>433.53</v>
      </c>
    </row>
    <row r="54" spans="1:10" ht="14">
      <c r="A54" s="239"/>
      <c r="B54" s="273" t="s">
        <v>106</v>
      </c>
      <c r="C54" s="290">
        <f t="shared" si="0"/>
        <v>5034.12</v>
      </c>
      <c r="D54" s="290">
        <v>647.79999999999995</v>
      </c>
      <c r="E54" s="290">
        <v>959.52</v>
      </c>
      <c r="F54" s="290">
        <v>2872.34</v>
      </c>
      <c r="G54" s="290">
        <v>0</v>
      </c>
      <c r="H54" s="297">
        <v>53.69</v>
      </c>
      <c r="I54" s="290">
        <v>67.3</v>
      </c>
      <c r="J54" s="292">
        <v>433.47</v>
      </c>
    </row>
    <row r="55" spans="1:10" ht="14">
      <c r="A55" s="239"/>
      <c r="B55" s="273" t="s">
        <v>107</v>
      </c>
      <c r="C55" s="290">
        <f t="shared" si="0"/>
        <v>5444.1399999999994</v>
      </c>
      <c r="D55" s="290">
        <v>647.79999999999995</v>
      </c>
      <c r="E55" s="290">
        <v>1395.11</v>
      </c>
      <c r="F55" s="297">
        <v>2845.84</v>
      </c>
      <c r="G55" s="290">
        <v>0</v>
      </c>
      <c r="H55" s="291">
        <v>54.53</v>
      </c>
      <c r="I55" s="290">
        <v>67.63</v>
      </c>
      <c r="J55" s="292">
        <v>433.23</v>
      </c>
    </row>
    <row r="56" spans="1:10" ht="14">
      <c r="A56" s="239"/>
      <c r="B56" s="273" t="s">
        <v>108</v>
      </c>
      <c r="C56" s="290">
        <f t="shared" si="0"/>
        <v>5135.0100000000011</v>
      </c>
      <c r="D56" s="290">
        <v>647.79999999999995</v>
      </c>
      <c r="E56" s="290">
        <v>1079.0899999999999</v>
      </c>
      <c r="F56" s="290">
        <v>2851.87</v>
      </c>
      <c r="G56" s="290">
        <v>0</v>
      </c>
      <c r="H56" s="291">
        <v>55.14</v>
      </c>
      <c r="I56" s="290">
        <v>67.64</v>
      </c>
      <c r="J56" s="292">
        <v>433.47</v>
      </c>
    </row>
    <row r="57" spans="1:10" ht="14">
      <c r="A57" s="239"/>
      <c r="B57" s="273" t="s">
        <v>109</v>
      </c>
      <c r="C57" s="290">
        <f t="shared" si="0"/>
        <v>4889.13</v>
      </c>
      <c r="D57" s="290">
        <v>647.79999999999995</v>
      </c>
      <c r="E57" s="290">
        <v>1041.79</v>
      </c>
      <c r="F57" s="290">
        <v>2645.49</v>
      </c>
      <c r="G57" s="290">
        <v>0</v>
      </c>
      <c r="H57" s="297">
        <v>53.03</v>
      </c>
      <c r="I57" s="290">
        <v>67.849999999999994</v>
      </c>
      <c r="J57" s="292">
        <v>433.17</v>
      </c>
    </row>
    <row r="58" spans="1:10" ht="14">
      <c r="A58" s="239"/>
      <c r="B58" s="273" t="s">
        <v>110</v>
      </c>
      <c r="C58" s="290">
        <f t="shared" si="0"/>
        <v>5036.92</v>
      </c>
      <c r="D58" s="290">
        <v>647.79999999999995</v>
      </c>
      <c r="E58" s="290">
        <v>1272.7</v>
      </c>
      <c r="F58" s="290">
        <v>2559.6999999999998</v>
      </c>
      <c r="G58" s="290">
        <v>0</v>
      </c>
      <c r="H58" s="291">
        <v>53.06</v>
      </c>
      <c r="I58" s="290">
        <v>67.88</v>
      </c>
      <c r="J58" s="292">
        <v>435.78</v>
      </c>
    </row>
    <row r="59" spans="1:10" ht="14">
      <c r="A59" s="239"/>
      <c r="B59" s="273" t="s">
        <v>117</v>
      </c>
      <c r="C59" s="290">
        <f t="shared" si="0"/>
        <v>4841.37</v>
      </c>
      <c r="D59" s="290">
        <v>647.79999999999995</v>
      </c>
      <c r="E59" s="290">
        <v>1246.74</v>
      </c>
      <c r="F59" s="290">
        <v>2394.37</v>
      </c>
      <c r="G59" s="290">
        <v>0</v>
      </c>
      <c r="H59" s="291">
        <v>50.92</v>
      </c>
      <c r="I59" s="290">
        <v>67.94</v>
      </c>
      <c r="J59" s="292">
        <v>433.6</v>
      </c>
    </row>
    <row r="60" spans="1:10" ht="14">
      <c r="A60" s="239"/>
      <c r="B60" s="273" t="s">
        <v>112</v>
      </c>
      <c r="C60" s="290">
        <f t="shared" si="0"/>
        <v>4826.29</v>
      </c>
      <c r="D60" s="290">
        <v>647.79999999999995</v>
      </c>
      <c r="E60" s="290">
        <v>1325.57</v>
      </c>
      <c r="F60" s="290">
        <v>2304.63</v>
      </c>
      <c r="G60" s="290">
        <v>0</v>
      </c>
      <c r="H60" s="291">
        <v>48.07</v>
      </c>
      <c r="I60" s="290">
        <v>66.8</v>
      </c>
      <c r="J60" s="292">
        <v>433.42</v>
      </c>
    </row>
    <row r="61" spans="1:10" ht="14">
      <c r="A61" s="239"/>
      <c r="B61" s="251" t="s">
        <v>113</v>
      </c>
      <c r="C61" s="290">
        <f t="shared" si="0"/>
        <v>5649.5300000000007</v>
      </c>
      <c r="D61" s="290">
        <v>662.95</v>
      </c>
      <c r="E61" s="290">
        <v>1945.57</v>
      </c>
      <c r="F61" s="290">
        <v>2479.52</v>
      </c>
      <c r="G61" s="290">
        <v>0</v>
      </c>
      <c r="H61" s="291">
        <v>46.43</v>
      </c>
      <c r="I61" s="290">
        <v>66.97</v>
      </c>
      <c r="J61" s="292">
        <v>448.09</v>
      </c>
    </row>
    <row r="62" spans="1:10" ht="14">
      <c r="A62" s="239"/>
      <c r="B62" s="273" t="s">
        <v>114</v>
      </c>
      <c r="C62" s="290">
        <f t="shared" si="0"/>
        <v>4982.66</v>
      </c>
      <c r="D62" s="290">
        <v>662.95</v>
      </c>
      <c r="E62" s="290">
        <v>1163.6500000000001</v>
      </c>
      <c r="F62" s="290">
        <v>2589.36</v>
      </c>
      <c r="G62" s="290">
        <v>0</v>
      </c>
      <c r="H62" s="291">
        <v>50.87</v>
      </c>
      <c r="I62" s="290">
        <v>67.349999999999994</v>
      </c>
      <c r="J62" s="292">
        <v>448.48</v>
      </c>
    </row>
    <row r="63" spans="1:10" ht="14">
      <c r="A63" s="239"/>
      <c r="B63" s="273" t="s">
        <v>115</v>
      </c>
      <c r="C63" s="290">
        <f t="shared" si="0"/>
        <v>5080.5499999999993</v>
      </c>
      <c r="D63" s="290">
        <v>662.95</v>
      </c>
      <c r="E63" s="290">
        <v>1351.94</v>
      </c>
      <c r="F63" s="290">
        <v>2502.4</v>
      </c>
      <c r="G63" s="290">
        <v>0</v>
      </c>
      <c r="H63" s="291">
        <v>47.69</v>
      </c>
      <c r="I63" s="290">
        <v>67.34</v>
      </c>
      <c r="J63" s="292">
        <v>448.23</v>
      </c>
    </row>
    <row r="64" spans="1:10" ht="14">
      <c r="A64" s="240"/>
      <c r="B64" s="274" t="s">
        <v>116</v>
      </c>
      <c r="C64" s="293">
        <f t="shared" si="0"/>
        <v>5168.76</v>
      </c>
      <c r="D64" s="293">
        <v>643.78</v>
      </c>
      <c r="E64" s="293">
        <v>1619.61</v>
      </c>
      <c r="F64" s="293">
        <v>2345.8000000000002</v>
      </c>
      <c r="G64" s="293">
        <v>0</v>
      </c>
      <c r="H64" s="294">
        <v>46.63</v>
      </c>
      <c r="I64" s="293">
        <v>69.790000000000006</v>
      </c>
      <c r="J64" s="295">
        <v>443.15</v>
      </c>
    </row>
    <row r="65" spans="1:10" ht="14">
      <c r="A65" s="239">
        <v>2016</v>
      </c>
      <c r="B65" s="273" t="s">
        <v>105</v>
      </c>
      <c r="C65" s="290">
        <f t="shared" si="0"/>
        <v>4838.3400000000011</v>
      </c>
      <c r="D65" s="290">
        <v>646.29999999999995</v>
      </c>
      <c r="E65" s="290">
        <v>1670.44</v>
      </c>
      <c r="F65" s="290">
        <v>1962.6</v>
      </c>
      <c r="G65" s="290">
        <v>0</v>
      </c>
      <c r="H65" s="291">
        <v>44.02</v>
      </c>
      <c r="I65" s="290">
        <v>69.59</v>
      </c>
      <c r="J65" s="292">
        <v>445.39</v>
      </c>
    </row>
    <row r="66" spans="1:10" ht="14">
      <c r="A66" s="239"/>
      <c r="B66" s="273" t="s">
        <v>106</v>
      </c>
      <c r="C66" s="290">
        <f t="shared" si="0"/>
        <v>5184.57</v>
      </c>
      <c r="D66" s="290">
        <v>640.82000000000005</v>
      </c>
      <c r="E66" s="290">
        <v>1679.89</v>
      </c>
      <c r="F66" s="297">
        <v>2137.2800000000002</v>
      </c>
      <c r="G66" s="290">
        <v>0</v>
      </c>
      <c r="H66" s="291">
        <v>49.25</v>
      </c>
      <c r="I66" s="290">
        <v>69.459999999999994</v>
      </c>
      <c r="J66" s="292">
        <v>607.87</v>
      </c>
    </row>
    <row r="67" spans="1:10" ht="14">
      <c r="A67" s="239"/>
      <c r="B67" s="273" t="s">
        <v>107</v>
      </c>
      <c r="C67" s="290">
        <f t="shared" si="0"/>
        <v>5431.85</v>
      </c>
      <c r="D67" s="290">
        <v>631.70000000000005</v>
      </c>
      <c r="E67" s="290">
        <v>1783.94</v>
      </c>
      <c r="F67" s="297">
        <v>2302.6999999999998</v>
      </c>
      <c r="G67" s="290">
        <v>0</v>
      </c>
      <c r="H67" s="297">
        <v>49.27</v>
      </c>
      <c r="I67" s="290">
        <v>69.44</v>
      </c>
      <c r="J67" s="292">
        <v>594.79999999999995</v>
      </c>
    </row>
    <row r="68" spans="1:10" ht="14">
      <c r="A68" s="239"/>
      <c r="B68" s="273" t="s">
        <v>108</v>
      </c>
      <c r="C68" s="290">
        <f t="shared" si="0"/>
        <v>5200.29</v>
      </c>
      <c r="D68" s="290">
        <v>632.15</v>
      </c>
      <c r="E68" s="290">
        <v>1727.33</v>
      </c>
      <c r="F68" s="297">
        <v>2125.9</v>
      </c>
      <c r="G68" s="290">
        <v>0</v>
      </c>
      <c r="H68" s="297">
        <v>49.73</v>
      </c>
      <c r="I68" s="290">
        <v>69.47</v>
      </c>
      <c r="J68" s="292">
        <v>595.71</v>
      </c>
    </row>
    <row r="69" spans="1:10" ht="14">
      <c r="A69" s="239"/>
      <c r="B69" s="273" t="s">
        <v>109</v>
      </c>
      <c r="C69" s="290">
        <f t="shared" si="0"/>
        <v>5361.5300000000007</v>
      </c>
      <c r="D69" s="290">
        <v>638.61</v>
      </c>
      <c r="E69" s="290">
        <v>1773.75</v>
      </c>
      <c r="F69" s="297">
        <v>2224.4899999999998</v>
      </c>
      <c r="G69" s="290">
        <v>0</v>
      </c>
      <c r="H69" s="297">
        <v>50.42</v>
      </c>
      <c r="I69" s="290">
        <v>69.92</v>
      </c>
      <c r="J69" s="292">
        <v>604.34</v>
      </c>
    </row>
    <row r="70" spans="1:10" ht="14">
      <c r="A70" s="239"/>
      <c r="B70" s="273" t="s">
        <v>110</v>
      </c>
      <c r="C70" s="290">
        <f t="shared" si="0"/>
        <v>5874.7</v>
      </c>
      <c r="D70" s="290">
        <v>628.14</v>
      </c>
      <c r="E70" s="290">
        <v>2057.9899999999998</v>
      </c>
      <c r="F70" s="297">
        <v>2476.67</v>
      </c>
      <c r="G70" s="290">
        <v>0</v>
      </c>
      <c r="H70" s="297">
        <v>52.1</v>
      </c>
      <c r="I70" s="290">
        <v>70.27</v>
      </c>
      <c r="J70" s="292">
        <v>589.53</v>
      </c>
    </row>
    <row r="71" spans="1:10" ht="14">
      <c r="A71" s="239"/>
      <c r="B71" s="273" t="s">
        <v>117</v>
      </c>
      <c r="C71" s="290">
        <f t="shared" ref="C71:C81" si="1">SUM(D71:J71)</f>
        <v>5653.1100000000006</v>
      </c>
      <c r="D71" s="290">
        <v>628.14</v>
      </c>
      <c r="E71" s="290">
        <v>1680.84</v>
      </c>
      <c r="F71" s="297">
        <v>2631.15</v>
      </c>
      <c r="G71" s="290">
        <v>0</v>
      </c>
      <c r="H71" s="297">
        <v>52.6</v>
      </c>
      <c r="I71" s="290">
        <v>70.819999999999993</v>
      </c>
      <c r="J71" s="292">
        <v>589.55999999999995</v>
      </c>
    </row>
    <row r="72" spans="1:10" ht="14">
      <c r="A72" s="239"/>
      <c r="B72" s="273" t="s">
        <v>112</v>
      </c>
      <c r="C72" s="290">
        <f t="shared" si="1"/>
        <v>5453.3200000000006</v>
      </c>
      <c r="D72" s="290">
        <v>631.05999999999995</v>
      </c>
      <c r="E72" s="290">
        <v>1757.81</v>
      </c>
      <c r="F72" s="297">
        <v>2347.88</v>
      </c>
      <c r="G72" s="290">
        <v>0</v>
      </c>
      <c r="H72" s="297">
        <v>51.39</v>
      </c>
      <c r="I72" s="290">
        <v>71.34</v>
      </c>
      <c r="J72" s="292">
        <v>593.84</v>
      </c>
    </row>
    <row r="73" spans="1:10" ht="14">
      <c r="A73" s="239"/>
      <c r="B73" s="273" t="s">
        <v>113</v>
      </c>
      <c r="C73" s="290">
        <f t="shared" si="1"/>
        <v>5384.08</v>
      </c>
      <c r="D73" s="290">
        <v>632.28</v>
      </c>
      <c r="E73" s="290">
        <v>1604.19</v>
      </c>
      <c r="F73" s="297">
        <v>2428.4499999999998</v>
      </c>
      <c r="G73" s="290">
        <v>0</v>
      </c>
      <c r="H73" s="297">
        <v>52.54</v>
      </c>
      <c r="I73" s="290">
        <v>71.34</v>
      </c>
      <c r="J73" s="292">
        <v>595.28</v>
      </c>
    </row>
    <row r="74" spans="1:10" ht="14">
      <c r="A74" s="239"/>
      <c r="B74" s="273" t="s">
        <v>114</v>
      </c>
      <c r="C74" s="290">
        <f t="shared" si="1"/>
        <v>5257.52</v>
      </c>
      <c r="D74" s="290">
        <v>633.66999999999996</v>
      </c>
      <c r="E74" s="290">
        <v>1465.9</v>
      </c>
      <c r="F74" s="297">
        <v>2436.09</v>
      </c>
      <c r="G74" s="290">
        <v>0</v>
      </c>
      <c r="H74" s="297">
        <v>52</v>
      </c>
      <c r="I74" s="290">
        <v>72.63</v>
      </c>
      <c r="J74" s="292">
        <v>597.23</v>
      </c>
    </row>
    <row r="75" spans="1:10" ht="14">
      <c r="A75" s="239"/>
      <c r="B75" s="273" t="s">
        <v>115</v>
      </c>
      <c r="C75" s="290">
        <f t="shared" si="1"/>
        <v>5106.6600000000008</v>
      </c>
      <c r="D75" s="290">
        <v>637.27</v>
      </c>
      <c r="E75" s="290">
        <v>1280.29</v>
      </c>
      <c r="F75" s="297">
        <v>2463.52</v>
      </c>
      <c r="G75" s="290">
        <v>0</v>
      </c>
      <c r="H75" s="297">
        <v>49.8</v>
      </c>
      <c r="I75" s="290">
        <v>73.180000000000007</v>
      </c>
      <c r="J75" s="292">
        <v>602.6</v>
      </c>
    </row>
    <row r="76" spans="1:10" ht="14">
      <c r="A76" s="240"/>
      <c r="B76" s="274" t="s">
        <v>116</v>
      </c>
      <c r="C76" s="293">
        <f t="shared" si="1"/>
        <v>5568.2800000000007</v>
      </c>
      <c r="D76" s="293">
        <v>662.71</v>
      </c>
      <c r="E76" s="293">
        <v>1654.69</v>
      </c>
      <c r="F76" s="299">
        <v>2519.29</v>
      </c>
      <c r="G76" s="293">
        <v>0</v>
      </c>
      <c r="H76" s="299">
        <v>48.13</v>
      </c>
      <c r="I76" s="293">
        <v>75.900000000000006</v>
      </c>
      <c r="J76" s="295">
        <v>607.55999999999995</v>
      </c>
    </row>
    <row r="77" spans="1:10" ht="14">
      <c r="A77" s="239">
        <v>2017</v>
      </c>
      <c r="B77" s="273" t="s">
        <v>105</v>
      </c>
      <c r="C77" s="290">
        <f t="shared" si="1"/>
        <v>5092.74</v>
      </c>
      <c r="D77" s="290">
        <v>659.39</v>
      </c>
      <c r="E77" s="290">
        <v>1346.13</v>
      </c>
      <c r="F77" s="297">
        <v>2358.2199999999998</v>
      </c>
      <c r="G77" s="290">
        <v>0</v>
      </c>
      <c r="H77" s="297">
        <v>50.77</v>
      </c>
      <c r="I77" s="290">
        <v>75.900000000000006</v>
      </c>
      <c r="J77" s="292">
        <v>602.33000000000004</v>
      </c>
    </row>
    <row r="78" spans="1:10" ht="14">
      <c r="A78" s="239"/>
      <c r="B78" s="273" t="s">
        <v>106</v>
      </c>
      <c r="C78" s="290">
        <f t="shared" si="1"/>
        <v>5109.49</v>
      </c>
      <c r="D78" s="290">
        <v>653.35</v>
      </c>
      <c r="E78" s="290">
        <v>1309.8599999999999</v>
      </c>
      <c r="F78" s="297">
        <v>2425.86</v>
      </c>
      <c r="G78" s="290">
        <v>0</v>
      </c>
      <c r="H78" s="297">
        <v>50.59</v>
      </c>
      <c r="I78" s="290">
        <v>76.180000000000007</v>
      </c>
      <c r="J78" s="292">
        <v>593.65</v>
      </c>
    </row>
    <row r="79" spans="1:10" ht="14">
      <c r="A79" s="239"/>
      <c r="B79" s="273" t="s">
        <v>107</v>
      </c>
      <c r="C79" s="290">
        <f t="shared" si="1"/>
        <v>5314.6299999999992</v>
      </c>
      <c r="D79" s="290">
        <v>652.42999999999995</v>
      </c>
      <c r="E79" s="290">
        <v>1572.05</v>
      </c>
      <c r="F79" s="297">
        <v>2370.27</v>
      </c>
      <c r="G79" s="290">
        <v>0</v>
      </c>
      <c r="H79" s="297">
        <v>51.16</v>
      </c>
      <c r="I79" s="290">
        <v>76.19</v>
      </c>
      <c r="J79" s="292">
        <v>592.53</v>
      </c>
    </row>
    <row r="80" spans="1:10" ht="14">
      <c r="A80" s="239"/>
      <c r="B80" s="273" t="s">
        <v>108</v>
      </c>
      <c r="C80" s="290">
        <f t="shared" si="1"/>
        <v>5015.0699999999988</v>
      </c>
      <c r="D80" s="290">
        <v>656.3</v>
      </c>
      <c r="E80" s="290">
        <v>1283.6400000000001</v>
      </c>
      <c r="F80" s="297">
        <v>2349.87</v>
      </c>
      <c r="G80" s="290">
        <v>0</v>
      </c>
      <c r="H80" s="297">
        <v>50.91</v>
      </c>
      <c r="I80" s="290">
        <v>76.19</v>
      </c>
      <c r="J80" s="292">
        <v>598.16</v>
      </c>
    </row>
    <row r="81" spans="1:10" ht="14">
      <c r="A81" s="239"/>
      <c r="B81" s="273" t="s">
        <v>109</v>
      </c>
      <c r="C81" s="290">
        <f t="shared" si="1"/>
        <v>5016.8700000000008</v>
      </c>
      <c r="D81" s="290">
        <v>656.57</v>
      </c>
      <c r="E81" s="290">
        <v>1172.5999999999999</v>
      </c>
      <c r="F81" s="297">
        <v>2464.1799999999998</v>
      </c>
      <c r="G81" s="290">
        <v>0</v>
      </c>
      <c r="H81" s="297">
        <v>48.92</v>
      </c>
      <c r="I81" s="290">
        <v>76.180000000000007</v>
      </c>
      <c r="J81" s="292">
        <v>598.41999999999996</v>
      </c>
    </row>
    <row r="82" spans="1:10" ht="14">
      <c r="A82" s="239"/>
      <c r="B82" s="273" t="s">
        <v>110</v>
      </c>
      <c r="C82" s="290">
        <f t="shared" ref="C82:C116" si="2">SUM(D82:J82)</f>
        <v>4823.3899999999994</v>
      </c>
      <c r="D82" s="290">
        <v>657.59</v>
      </c>
      <c r="E82" s="290">
        <v>1184.71</v>
      </c>
      <c r="F82" s="297">
        <v>2251.0700000000002</v>
      </c>
      <c r="G82" s="290">
        <v>0</v>
      </c>
      <c r="H82" s="297">
        <v>51.96</v>
      </c>
      <c r="I82" s="290">
        <v>78.290000000000006</v>
      </c>
      <c r="J82" s="292">
        <v>599.77</v>
      </c>
    </row>
    <row r="83" spans="1:10" ht="14">
      <c r="A83" s="239"/>
      <c r="B83" s="273" t="s">
        <v>117</v>
      </c>
      <c r="C83" s="290">
        <f t="shared" si="2"/>
        <v>4714.7700000000004</v>
      </c>
      <c r="D83" s="290">
        <v>655.73</v>
      </c>
      <c r="E83" s="290">
        <v>1020.5</v>
      </c>
      <c r="F83" s="297">
        <v>2311.88</v>
      </c>
      <c r="G83" s="290">
        <v>0</v>
      </c>
      <c r="H83" s="297">
        <v>52.63</v>
      </c>
      <c r="I83" s="290">
        <v>76.22</v>
      </c>
      <c r="J83" s="292">
        <v>597.80999999999995</v>
      </c>
    </row>
    <row r="84" spans="1:10" ht="14">
      <c r="A84" s="239"/>
      <c r="B84" s="273" t="s">
        <v>112</v>
      </c>
      <c r="C84" s="290">
        <f t="shared" si="2"/>
        <v>4651.5600000000004</v>
      </c>
      <c r="D84" s="290">
        <v>657.91</v>
      </c>
      <c r="E84" s="290">
        <v>937.91</v>
      </c>
      <c r="F84" s="297">
        <v>2315.44</v>
      </c>
      <c r="G84" s="290">
        <v>0</v>
      </c>
      <c r="H84" s="297">
        <v>53.45</v>
      </c>
      <c r="I84" s="290">
        <v>76.48</v>
      </c>
      <c r="J84" s="292">
        <v>610.37</v>
      </c>
    </row>
    <row r="85" spans="1:10" ht="14">
      <c r="A85" s="239"/>
      <c r="B85" s="273" t="s">
        <v>113</v>
      </c>
      <c r="C85" s="290">
        <f t="shared" si="2"/>
        <v>4926.7100000000009</v>
      </c>
      <c r="D85" s="290">
        <v>657.62</v>
      </c>
      <c r="E85" s="290">
        <v>1230.1500000000001</v>
      </c>
      <c r="F85" s="297">
        <v>2305.16</v>
      </c>
      <c r="G85" s="290">
        <v>0</v>
      </c>
      <c r="H85" s="297">
        <v>53.14</v>
      </c>
      <c r="I85" s="290">
        <v>76.260000000000005</v>
      </c>
      <c r="J85" s="292">
        <v>604.38</v>
      </c>
    </row>
    <row r="86" spans="1:10" ht="14">
      <c r="A86" s="239"/>
      <c r="B86" s="273" t="s">
        <v>114</v>
      </c>
      <c r="C86" s="290">
        <f t="shared" si="2"/>
        <v>4833.5599999999995</v>
      </c>
      <c r="D86" s="290">
        <v>655.73</v>
      </c>
      <c r="E86" s="290">
        <v>872.26</v>
      </c>
      <c r="F86" s="297">
        <v>2569.88</v>
      </c>
      <c r="G86" s="290">
        <v>0</v>
      </c>
      <c r="H86" s="297">
        <v>54.49</v>
      </c>
      <c r="I86" s="290">
        <v>77.900000000000006</v>
      </c>
      <c r="J86" s="292">
        <v>603.29999999999995</v>
      </c>
    </row>
    <row r="87" spans="1:10" ht="14">
      <c r="A87" s="239"/>
      <c r="B87" s="273" t="s">
        <v>115</v>
      </c>
      <c r="C87" s="290">
        <f t="shared" si="2"/>
        <v>4873.9599999999991</v>
      </c>
      <c r="D87" s="290">
        <v>655.04999999999995</v>
      </c>
      <c r="E87" s="290">
        <v>843.62</v>
      </c>
      <c r="F87" s="297">
        <v>2639.89</v>
      </c>
      <c r="G87" s="290">
        <v>0</v>
      </c>
      <c r="H87" s="297">
        <v>54.03</v>
      </c>
      <c r="I87" s="290">
        <v>77.56</v>
      </c>
      <c r="J87" s="292">
        <v>603.80999999999995</v>
      </c>
    </row>
    <row r="88" spans="1:10" ht="14">
      <c r="A88" s="240"/>
      <c r="B88" s="252" t="s">
        <v>116</v>
      </c>
      <c r="C88" s="293">
        <f t="shared" si="2"/>
        <v>5102.66</v>
      </c>
      <c r="D88" s="293">
        <v>664.39</v>
      </c>
      <c r="E88" s="293">
        <v>1294.8599999999999</v>
      </c>
      <c r="F88" s="299">
        <v>2412.33</v>
      </c>
      <c r="G88" s="293">
        <v>0</v>
      </c>
      <c r="H88" s="299">
        <v>53.52</v>
      </c>
      <c r="I88" s="293">
        <v>81.25</v>
      </c>
      <c r="J88" s="295">
        <v>596.30999999999995</v>
      </c>
    </row>
    <row r="89" spans="1:10" ht="14">
      <c r="A89" s="239">
        <v>2018</v>
      </c>
      <c r="B89" s="273" t="s">
        <v>105</v>
      </c>
      <c r="C89" s="290">
        <f t="shared" si="2"/>
        <v>4676.62</v>
      </c>
      <c r="D89" s="290">
        <v>670.47</v>
      </c>
      <c r="E89" s="290">
        <v>897.43</v>
      </c>
      <c r="F89" s="297">
        <v>2375.08</v>
      </c>
      <c r="G89" s="290">
        <v>0</v>
      </c>
      <c r="H89" s="297">
        <v>55.14</v>
      </c>
      <c r="I89" s="290">
        <v>81.73</v>
      </c>
      <c r="J89" s="292">
        <v>596.77</v>
      </c>
    </row>
    <row r="90" spans="1:10" ht="14">
      <c r="A90" s="239"/>
      <c r="B90" s="273" t="s">
        <v>106</v>
      </c>
      <c r="C90" s="290">
        <f t="shared" si="2"/>
        <v>4829.1500000000005</v>
      </c>
      <c r="D90" s="290">
        <v>670.08</v>
      </c>
      <c r="E90" s="290">
        <v>1165.51</v>
      </c>
      <c r="F90" s="297">
        <v>2257.79</v>
      </c>
      <c r="G90" s="290">
        <v>0</v>
      </c>
      <c r="H90" s="297">
        <v>55.02</v>
      </c>
      <c r="I90" s="290">
        <v>81.66</v>
      </c>
      <c r="J90" s="292">
        <v>599.09</v>
      </c>
    </row>
    <row r="91" spans="1:10" ht="14">
      <c r="A91" s="239"/>
      <c r="B91" s="273" t="s">
        <v>107</v>
      </c>
      <c r="C91" s="290">
        <f t="shared" si="2"/>
        <v>5352.2400000000007</v>
      </c>
      <c r="D91" s="290">
        <v>666.8</v>
      </c>
      <c r="E91" s="290">
        <v>1668.39</v>
      </c>
      <c r="F91" s="297">
        <v>2285.33</v>
      </c>
      <c r="G91" s="290">
        <v>0</v>
      </c>
      <c r="H91" s="297">
        <v>53.97</v>
      </c>
      <c r="I91" s="290">
        <v>82.09</v>
      </c>
      <c r="J91" s="292">
        <v>595.66</v>
      </c>
    </row>
    <row r="92" spans="1:10" ht="14">
      <c r="A92" s="239"/>
      <c r="B92" s="273" t="s">
        <v>108</v>
      </c>
      <c r="C92" s="300">
        <f t="shared" si="2"/>
        <v>4673.75</v>
      </c>
      <c r="D92" s="301">
        <v>666.53</v>
      </c>
      <c r="E92" s="301">
        <v>1044.54</v>
      </c>
      <c r="F92" s="300">
        <v>2231.1</v>
      </c>
      <c r="G92" s="301">
        <v>0</v>
      </c>
      <c r="H92" s="300">
        <v>54.19</v>
      </c>
      <c r="I92" s="301">
        <v>82.15</v>
      </c>
      <c r="J92" s="302">
        <v>595.24</v>
      </c>
    </row>
    <row r="93" spans="1:10" ht="14">
      <c r="A93" s="239"/>
      <c r="B93" s="273" t="s">
        <v>109</v>
      </c>
      <c r="C93" s="300">
        <f t="shared" si="2"/>
        <v>4750.0499999999993</v>
      </c>
      <c r="D93" s="301">
        <v>666</v>
      </c>
      <c r="E93" s="301">
        <v>1169.43</v>
      </c>
      <c r="F93" s="301">
        <v>2094.1</v>
      </c>
      <c r="G93" s="301">
        <v>0</v>
      </c>
      <c r="H93" s="300">
        <v>145.26</v>
      </c>
      <c r="I93" s="301">
        <v>82.03</v>
      </c>
      <c r="J93" s="302">
        <v>593.23</v>
      </c>
    </row>
    <row r="94" spans="1:10" ht="14">
      <c r="A94" s="239"/>
      <c r="B94" s="273" t="s">
        <v>110</v>
      </c>
      <c r="C94" s="290">
        <f t="shared" si="2"/>
        <v>5148.9599999999991</v>
      </c>
      <c r="D94" s="290">
        <v>661.61</v>
      </c>
      <c r="E94" s="290">
        <v>1537.82</v>
      </c>
      <c r="F94" s="290">
        <v>2130.38</v>
      </c>
      <c r="G94" s="290">
        <v>0</v>
      </c>
      <c r="H94" s="291">
        <v>141.15</v>
      </c>
      <c r="I94" s="290">
        <v>82.33</v>
      </c>
      <c r="J94" s="292">
        <v>595.66999999999996</v>
      </c>
    </row>
    <row r="95" spans="1:10" ht="14">
      <c r="A95" s="239"/>
      <c r="B95" s="273" t="s">
        <v>117</v>
      </c>
      <c r="C95" s="290">
        <f t="shared" si="2"/>
        <v>4707.68</v>
      </c>
      <c r="D95" s="290">
        <v>657.57</v>
      </c>
      <c r="E95" s="290">
        <v>1140.82</v>
      </c>
      <c r="F95" s="290">
        <v>2083.4299999999998</v>
      </c>
      <c r="G95" s="290">
        <v>0</v>
      </c>
      <c r="H95" s="291">
        <v>144.36000000000001</v>
      </c>
      <c r="I95" s="290">
        <v>82.15</v>
      </c>
      <c r="J95" s="292">
        <v>599.35</v>
      </c>
    </row>
    <row r="96" spans="1:10" ht="14">
      <c r="A96" s="239"/>
      <c r="B96" s="273" t="s">
        <v>112</v>
      </c>
      <c r="C96" s="290">
        <f t="shared" si="2"/>
        <v>4714.7000000000007</v>
      </c>
      <c r="D96" s="290">
        <v>656.7</v>
      </c>
      <c r="E96" s="290">
        <v>1100.74</v>
      </c>
      <c r="F96" s="290">
        <v>2129.61</v>
      </c>
      <c r="G96" s="290">
        <v>0</v>
      </c>
      <c r="H96" s="291">
        <v>145.66999999999999</v>
      </c>
      <c r="I96" s="290">
        <v>82.5</v>
      </c>
      <c r="J96" s="292">
        <v>599.48</v>
      </c>
    </row>
    <row r="97" spans="1:10" ht="14">
      <c r="A97" s="239"/>
      <c r="B97" s="273" t="s">
        <v>113</v>
      </c>
      <c r="C97" s="290">
        <f t="shared" si="2"/>
        <v>4943.79</v>
      </c>
      <c r="D97" s="290">
        <v>650.79999999999995</v>
      </c>
      <c r="E97" s="290">
        <v>1299.23</v>
      </c>
      <c r="F97" s="290">
        <v>2129.7399999999998</v>
      </c>
      <c r="G97" s="290">
        <v>0</v>
      </c>
      <c r="H97" s="291">
        <v>183.43</v>
      </c>
      <c r="I97" s="290">
        <v>83.96</v>
      </c>
      <c r="J97" s="292">
        <v>596.63</v>
      </c>
    </row>
    <row r="98" spans="1:10" ht="14">
      <c r="A98" s="239"/>
      <c r="B98" s="273" t="s">
        <v>114</v>
      </c>
      <c r="C98" s="297">
        <f t="shared" si="2"/>
        <v>4832.37</v>
      </c>
      <c r="D98" s="290">
        <v>661.52</v>
      </c>
      <c r="E98" s="290">
        <v>1060.33</v>
      </c>
      <c r="F98" s="290">
        <v>2255.41</v>
      </c>
      <c r="G98" s="290">
        <v>0</v>
      </c>
      <c r="H98" s="291">
        <v>172.11</v>
      </c>
      <c r="I98" s="290">
        <v>83.96</v>
      </c>
      <c r="J98" s="292">
        <v>599.04</v>
      </c>
    </row>
    <row r="99" spans="1:10" ht="14">
      <c r="A99" s="239"/>
      <c r="B99" s="273" t="s">
        <v>115</v>
      </c>
      <c r="C99" s="297">
        <f t="shared" si="2"/>
        <v>4794.7899999999991</v>
      </c>
      <c r="D99" s="290">
        <v>655.36</v>
      </c>
      <c r="E99" s="290">
        <v>1175.81</v>
      </c>
      <c r="F99" s="290">
        <v>2114.61</v>
      </c>
      <c r="G99" s="290">
        <v>0</v>
      </c>
      <c r="H99" s="291">
        <v>172.17</v>
      </c>
      <c r="I99" s="290">
        <v>83.73</v>
      </c>
      <c r="J99" s="292">
        <v>593.11</v>
      </c>
    </row>
    <row r="100" spans="1:10" ht="14">
      <c r="A100" s="240"/>
      <c r="B100" s="274" t="s">
        <v>116</v>
      </c>
      <c r="C100" s="299">
        <f t="shared" si="2"/>
        <v>5114.8899999999994</v>
      </c>
      <c r="D100" s="293">
        <v>667.63</v>
      </c>
      <c r="E100" s="293">
        <v>1472.28</v>
      </c>
      <c r="F100" s="293">
        <v>2133.64</v>
      </c>
      <c r="G100" s="293">
        <v>0</v>
      </c>
      <c r="H100" s="294">
        <v>160.21</v>
      </c>
      <c r="I100" s="293">
        <v>85.12</v>
      </c>
      <c r="J100" s="295">
        <v>596.01</v>
      </c>
    </row>
    <row r="101" spans="1:10" ht="14">
      <c r="A101" s="239">
        <v>2019</v>
      </c>
      <c r="B101" s="273" t="s">
        <v>105</v>
      </c>
      <c r="C101" s="297">
        <f t="shared" si="2"/>
        <v>4843.21</v>
      </c>
      <c r="D101" s="290">
        <v>669.15</v>
      </c>
      <c r="E101" s="290">
        <v>1419.49</v>
      </c>
      <c r="F101" s="290">
        <v>1911.03</v>
      </c>
      <c r="G101" s="290">
        <v>0</v>
      </c>
      <c r="H101" s="291">
        <v>168.8</v>
      </c>
      <c r="I101" s="290">
        <v>84.87</v>
      </c>
      <c r="J101" s="292">
        <v>589.87</v>
      </c>
    </row>
    <row r="102" spans="1:10" ht="14">
      <c r="A102" s="239"/>
      <c r="B102" s="273" t="s">
        <v>106</v>
      </c>
      <c r="C102" s="297">
        <f t="shared" si="2"/>
        <v>4955.8500000000004</v>
      </c>
      <c r="D102" s="290">
        <v>670.64</v>
      </c>
      <c r="E102" s="290">
        <v>1563</v>
      </c>
      <c r="F102" s="290">
        <v>1875.03</v>
      </c>
      <c r="G102" s="290">
        <v>0</v>
      </c>
      <c r="H102" s="291">
        <v>172.84</v>
      </c>
      <c r="I102" s="290">
        <v>84.71</v>
      </c>
      <c r="J102" s="292">
        <v>589.63</v>
      </c>
    </row>
    <row r="103" spans="1:10" ht="14">
      <c r="A103" s="239"/>
      <c r="B103" s="273" t="s">
        <v>107</v>
      </c>
      <c r="C103" s="297">
        <f t="shared" si="2"/>
        <v>5636.86</v>
      </c>
      <c r="D103" s="290">
        <v>665.9</v>
      </c>
      <c r="E103" s="290">
        <v>2291.4899999999998</v>
      </c>
      <c r="F103" s="290">
        <v>1818.44</v>
      </c>
      <c r="G103" s="290">
        <v>0</v>
      </c>
      <c r="H103" s="291">
        <v>187.9</v>
      </c>
      <c r="I103" s="290">
        <v>84.49</v>
      </c>
      <c r="J103" s="292">
        <v>588.64</v>
      </c>
    </row>
    <row r="104" spans="1:10" ht="14">
      <c r="A104" s="239"/>
      <c r="B104" s="273" t="s">
        <v>108</v>
      </c>
      <c r="C104" s="297">
        <f t="shared" si="2"/>
        <v>5063.5</v>
      </c>
      <c r="D104" s="290">
        <v>665.66</v>
      </c>
      <c r="E104" s="290">
        <v>1395.54</v>
      </c>
      <c r="F104" s="290">
        <v>2129.84</v>
      </c>
      <c r="G104" s="290">
        <v>0</v>
      </c>
      <c r="H104" s="291">
        <v>198</v>
      </c>
      <c r="I104" s="290">
        <v>84.29</v>
      </c>
      <c r="J104" s="292">
        <v>590.16999999999996</v>
      </c>
    </row>
    <row r="105" spans="1:10" ht="14">
      <c r="A105" s="239"/>
      <c r="B105" s="273" t="s">
        <v>109</v>
      </c>
      <c r="C105" s="297">
        <f t="shared" si="2"/>
        <v>5076.96</v>
      </c>
      <c r="D105" s="290">
        <v>674.02</v>
      </c>
      <c r="E105" s="290">
        <v>1228.77</v>
      </c>
      <c r="F105" s="290">
        <v>2307.63</v>
      </c>
      <c r="G105" s="290">
        <v>0</v>
      </c>
      <c r="H105" s="291">
        <v>187.97</v>
      </c>
      <c r="I105" s="290">
        <v>84.66</v>
      </c>
      <c r="J105" s="292">
        <v>593.91</v>
      </c>
    </row>
    <row r="106" spans="1:10" ht="14">
      <c r="A106" s="239"/>
      <c r="B106" s="273" t="s">
        <v>110</v>
      </c>
      <c r="C106" s="297">
        <f t="shared" si="2"/>
        <v>5285.8600000000006</v>
      </c>
      <c r="D106" s="290">
        <v>688.1</v>
      </c>
      <c r="E106" s="290">
        <v>1494.19</v>
      </c>
      <c r="F106" s="290">
        <v>2234.54</v>
      </c>
      <c r="G106" s="290">
        <v>0</v>
      </c>
      <c r="H106" s="291">
        <v>195.81</v>
      </c>
      <c r="I106" s="290">
        <v>84.52</v>
      </c>
      <c r="J106" s="292">
        <v>588.70000000000005</v>
      </c>
    </row>
    <row r="107" spans="1:10" ht="14">
      <c r="A107" s="239"/>
      <c r="B107" s="273" t="s">
        <v>117</v>
      </c>
      <c r="C107" s="296">
        <f t="shared" si="2"/>
        <v>4976.7699999999995</v>
      </c>
      <c r="D107" s="290">
        <v>695.21</v>
      </c>
      <c r="E107" s="290">
        <v>1196.67</v>
      </c>
      <c r="F107" s="290">
        <v>2222.02</v>
      </c>
      <c r="G107" s="290">
        <v>0</v>
      </c>
      <c r="H107" s="291">
        <v>187.71</v>
      </c>
      <c r="I107" s="290">
        <v>85.19</v>
      </c>
      <c r="J107" s="292">
        <v>589.97</v>
      </c>
    </row>
    <row r="108" spans="1:10" ht="14">
      <c r="A108" s="239"/>
      <c r="B108" s="273" t="s">
        <v>112</v>
      </c>
      <c r="C108" s="296">
        <f t="shared" si="2"/>
        <v>4910.18</v>
      </c>
      <c r="D108" s="290">
        <v>724.69</v>
      </c>
      <c r="E108" s="290">
        <v>1175.94</v>
      </c>
      <c r="F108" s="290">
        <v>2146.16</v>
      </c>
      <c r="G108" s="290">
        <v>0</v>
      </c>
      <c r="H108" s="291">
        <v>183.97</v>
      </c>
      <c r="I108" s="290">
        <v>85.41</v>
      </c>
      <c r="J108" s="292">
        <v>594.01</v>
      </c>
    </row>
    <row r="109" spans="1:10" ht="14">
      <c r="A109" s="239"/>
      <c r="B109" s="273" t="s">
        <v>113</v>
      </c>
      <c r="C109" s="296">
        <f t="shared" si="2"/>
        <v>5098.8100000000004</v>
      </c>
      <c r="D109" s="290">
        <v>714.1</v>
      </c>
      <c r="E109" s="290">
        <v>1339.81</v>
      </c>
      <c r="F109" s="290">
        <v>2174.34</v>
      </c>
      <c r="G109" s="290">
        <v>0</v>
      </c>
      <c r="H109" s="291">
        <v>186.54</v>
      </c>
      <c r="I109" s="290">
        <v>91.18</v>
      </c>
      <c r="J109" s="292">
        <v>592.84</v>
      </c>
    </row>
    <row r="110" spans="1:10" ht="14">
      <c r="A110" s="239"/>
      <c r="B110" s="251" t="s">
        <v>114</v>
      </c>
      <c r="C110" s="290">
        <f t="shared" si="2"/>
        <v>4915.7300000000005</v>
      </c>
      <c r="D110" s="290">
        <v>713.03</v>
      </c>
      <c r="E110" s="290">
        <v>1175.55</v>
      </c>
      <c r="F110" s="290">
        <v>2149</v>
      </c>
      <c r="G110" s="290">
        <v>0</v>
      </c>
      <c r="H110" s="291">
        <v>195.81</v>
      </c>
      <c r="I110" s="290">
        <v>91.54</v>
      </c>
      <c r="J110" s="292">
        <v>590.79999999999995</v>
      </c>
    </row>
    <row r="111" spans="1:10" ht="14">
      <c r="A111" s="239"/>
      <c r="B111" s="273" t="s">
        <v>115</v>
      </c>
      <c r="C111" s="297">
        <f t="shared" si="2"/>
        <v>4857.08</v>
      </c>
      <c r="D111" s="290">
        <v>704.12</v>
      </c>
      <c r="E111" s="290">
        <v>1180.1600000000001</v>
      </c>
      <c r="F111" s="290">
        <v>2089.7600000000002</v>
      </c>
      <c r="G111" s="290">
        <v>0</v>
      </c>
      <c r="H111" s="291">
        <v>201.18</v>
      </c>
      <c r="I111" s="290">
        <v>91.67</v>
      </c>
      <c r="J111" s="292">
        <v>590.19000000000005</v>
      </c>
    </row>
    <row r="112" spans="1:10" ht="14">
      <c r="A112" s="240"/>
      <c r="B112" s="274" t="s">
        <v>116</v>
      </c>
      <c r="C112" s="299">
        <f t="shared" si="2"/>
        <v>6133.76</v>
      </c>
      <c r="D112" s="293">
        <v>703.3</v>
      </c>
      <c r="E112" s="293">
        <v>2336.4299999999998</v>
      </c>
      <c r="F112" s="299">
        <v>2220.13</v>
      </c>
      <c r="G112" s="293">
        <v>0</v>
      </c>
      <c r="H112" s="294">
        <v>198.42</v>
      </c>
      <c r="I112" s="293">
        <v>90.56</v>
      </c>
      <c r="J112" s="295">
        <v>584.91999999999996</v>
      </c>
    </row>
    <row r="113" spans="1:10" ht="14">
      <c r="A113" s="238">
        <v>2020</v>
      </c>
      <c r="B113" s="247" t="s">
        <v>105</v>
      </c>
      <c r="C113" s="287">
        <f t="shared" si="2"/>
        <v>4803.6799689800009</v>
      </c>
      <c r="D113" s="287">
        <v>723.51581686999998</v>
      </c>
      <c r="E113" s="287">
        <v>1446.8133940700002</v>
      </c>
      <c r="F113" s="287">
        <v>1761.2619701600001</v>
      </c>
      <c r="G113" s="287">
        <v>0</v>
      </c>
      <c r="H113" s="287">
        <v>196.40732527999998</v>
      </c>
      <c r="I113" s="287">
        <v>89.005187119999988</v>
      </c>
      <c r="J113" s="303">
        <v>586.67627547999984</v>
      </c>
    </row>
    <row r="114" spans="1:10" ht="14">
      <c r="A114" s="239"/>
      <c r="B114" s="251" t="s">
        <v>106</v>
      </c>
      <c r="C114" s="290">
        <f t="shared" si="2"/>
        <v>4815.3147441599995</v>
      </c>
      <c r="D114" s="290">
        <v>745.47466927000005</v>
      </c>
      <c r="E114" s="290">
        <v>1507.6734480399996</v>
      </c>
      <c r="F114" s="290">
        <v>1686.24566654</v>
      </c>
      <c r="G114" s="290">
        <v>0</v>
      </c>
      <c r="H114" s="290">
        <v>185.21452824999997</v>
      </c>
      <c r="I114" s="290">
        <v>90.82374974999999</v>
      </c>
      <c r="J114" s="304">
        <v>599.88268230999995</v>
      </c>
    </row>
    <row r="115" spans="1:10" ht="14">
      <c r="A115" s="239"/>
      <c r="B115" s="251" t="s">
        <v>107</v>
      </c>
      <c r="C115" s="290">
        <f t="shared" si="2"/>
        <v>5505.7424074500004</v>
      </c>
      <c r="D115" s="290">
        <v>757.48879553000006</v>
      </c>
      <c r="E115" s="290">
        <v>2267.1874137200002</v>
      </c>
      <c r="F115" s="290">
        <v>1621.5827617400003</v>
      </c>
      <c r="G115" s="290">
        <v>0</v>
      </c>
      <c r="H115" s="290">
        <v>160.74711914999997</v>
      </c>
      <c r="I115" s="290">
        <v>91.347585260000002</v>
      </c>
      <c r="J115" s="304">
        <v>607.38873204999982</v>
      </c>
    </row>
    <row r="116" spans="1:10" ht="14">
      <c r="A116" s="239"/>
      <c r="B116" s="251" t="s">
        <v>108</v>
      </c>
      <c r="C116" s="290">
        <f t="shared" si="2"/>
        <v>4952.6390576100002</v>
      </c>
      <c r="D116" s="290">
        <v>769.33455696999999</v>
      </c>
      <c r="E116" s="290">
        <v>1885.79007572</v>
      </c>
      <c r="F116" s="290">
        <v>1427.66101729</v>
      </c>
      <c r="G116" s="290">
        <v>0</v>
      </c>
      <c r="H116" s="290">
        <v>175.74562044999999</v>
      </c>
      <c r="I116" s="290">
        <v>91.763987139999998</v>
      </c>
      <c r="J116" s="304">
        <v>602.34380003999991</v>
      </c>
    </row>
    <row r="117" spans="1:10" ht="14">
      <c r="A117" s="239"/>
      <c r="B117" s="251" t="s">
        <v>109</v>
      </c>
      <c r="C117" s="290">
        <f>SUM(D117:J117)</f>
        <v>6425.2330586200005</v>
      </c>
      <c r="D117" s="290">
        <v>778.94104644000004</v>
      </c>
      <c r="E117" s="290">
        <v>3127.1036856300002</v>
      </c>
      <c r="F117" s="290">
        <v>1643.2847907700007</v>
      </c>
      <c r="G117" s="290">
        <v>0</v>
      </c>
      <c r="H117" s="290">
        <v>178.44952959999998</v>
      </c>
      <c r="I117" s="290">
        <v>91.348066289999991</v>
      </c>
      <c r="J117" s="304">
        <v>606.10593988999995</v>
      </c>
    </row>
    <row r="118" spans="1:10" ht="14">
      <c r="A118" s="239"/>
      <c r="B118" s="251" t="s">
        <v>110</v>
      </c>
      <c r="C118" s="290">
        <f>SUM(D118:J118)</f>
        <v>6029.3618071500005</v>
      </c>
      <c r="D118" s="290">
        <v>777.15067922000003</v>
      </c>
      <c r="E118" s="290">
        <v>2688.7572777</v>
      </c>
      <c r="F118" s="290">
        <v>1684.6188936400006</v>
      </c>
      <c r="G118" s="290">
        <v>0</v>
      </c>
      <c r="H118" s="290">
        <v>187.50528994999996</v>
      </c>
      <c r="I118" s="290">
        <v>92.12236154</v>
      </c>
      <c r="J118" s="304">
        <v>599.20730509999976</v>
      </c>
    </row>
    <row r="119" spans="1:10" ht="14">
      <c r="A119" s="239"/>
      <c r="B119" s="273" t="s">
        <v>117</v>
      </c>
      <c r="C119" s="290">
        <f t="shared" ref="C119:C133" si="3">SUM(D119:J119)</f>
        <v>5122.2493378099998</v>
      </c>
      <c r="D119" s="290">
        <v>814.42090334</v>
      </c>
      <c r="E119" s="290">
        <v>1411.2426928499999</v>
      </c>
      <c r="F119" s="290">
        <v>2002.4018993100001</v>
      </c>
      <c r="G119" s="290">
        <v>0</v>
      </c>
      <c r="H119" s="290">
        <v>197.05692620999997</v>
      </c>
      <c r="I119" s="290">
        <v>107.98476512000002</v>
      </c>
      <c r="J119" s="304">
        <v>589.14215098</v>
      </c>
    </row>
    <row r="120" spans="1:10" ht="14">
      <c r="A120" s="239"/>
      <c r="B120" s="273" t="s">
        <v>112</v>
      </c>
      <c r="C120" s="290">
        <f t="shared" si="3"/>
        <v>5234.9096674499997</v>
      </c>
      <c r="D120" s="290">
        <v>807.78504791</v>
      </c>
      <c r="E120" s="290">
        <v>1806.8234728800005</v>
      </c>
      <c r="F120" s="290">
        <v>1719.75379557</v>
      </c>
      <c r="G120" s="290">
        <v>0</v>
      </c>
      <c r="H120" s="290">
        <v>202.42735424000003</v>
      </c>
      <c r="I120" s="290">
        <v>95.291301910000001</v>
      </c>
      <c r="J120" s="304">
        <v>602.82869493999999</v>
      </c>
    </row>
    <row r="121" spans="1:10" ht="14">
      <c r="A121" s="239"/>
      <c r="B121" s="273" t="s">
        <v>113</v>
      </c>
      <c r="C121" s="290">
        <f t="shared" si="3"/>
        <v>5241.7460421400001</v>
      </c>
      <c r="D121" s="290">
        <v>795.42521354999997</v>
      </c>
      <c r="E121" s="290">
        <v>1802.6147458400003</v>
      </c>
      <c r="F121" s="290">
        <v>1797.7126240699993</v>
      </c>
      <c r="G121" s="290">
        <v>0</v>
      </c>
      <c r="H121" s="290">
        <v>146.99541751000001</v>
      </c>
      <c r="I121" s="290">
        <v>96.736642119999999</v>
      </c>
      <c r="J121" s="304">
        <v>602.26139905000002</v>
      </c>
    </row>
    <row r="122" spans="1:10" ht="14">
      <c r="A122" s="239"/>
      <c r="B122" s="273" t="s">
        <v>114</v>
      </c>
      <c r="C122" s="297">
        <f t="shared" si="3"/>
        <v>5045.7977505100007</v>
      </c>
      <c r="D122" s="290">
        <v>794.05066485999987</v>
      </c>
      <c r="E122" s="290">
        <v>1593.0511710600003</v>
      </c>
      <c r="F122" s="290">
        <v>1800.3630312099995</v>
      </c>
      <c r="G122" s="290">
        <v>0</v>
      </c>
      <c r="H122" s="290">
        <v>159.73330632</v>
      </c>
      <c r="I122" s="290">
        <v>97.094112380000013</v>
      </c>
      <c r="J122" s="304">
        <v>601.50546467999993</v>
      </c>
    </row>
    <row r="123" spans="1:10" ht="14">
      <c r="A123" s="239"/>
      <c r="B123" s="273" t="s">
        <v>115</v>
      </c>
      <c r="C123" s="297">
        <f t="shared" si="3"/>
        <v>5464.4040000000005</v>
      </c>
      <c r="D123" s="290">
        <v>760.90200000000004</v>
      </c>
      <c r="E123" s="290">
        <v>1972.3809999999999</v>
      </c>
      <c r="F123" s="290">
        <v>1858.566</v>
      </c>
      <c r="G123" s="290">
        <v>0</v>
      </c>
      <c r="H123" s="290">
        <v>176.55500000000001</v>
      </c>
      <c r="I123" s="290">
        <v>98.343999999999994</v>
      </c>
      <c r="J123" s="304">
        <v>597.65599999999995</v>
      </c>
    </row>
    <row r="124" spans="1:10" ht="14">
      <c r="A124" s="240"/>
      <c r="B124" s="274" t="s">
        <v>116</v>
      </c>
      <c r="C124" s="299">
        <f t="shared" si="3"/>
        <v>5614.0278858300007</v>
      </c>
      <c r="D124" s="293">
        <v>782.6916895899999</v>
      </c>
      <c r="E124" s="293">
        <v>1651.5451236000001</v>
      </c>
      <c r="F124" s="293">
        <v>2291.5407653000007</v>
      </c>
      <c r="G124" s="293">
        <v>0</v>
      </c>
      <c r="H124" s="293">
        <v>180.62064042999998</v>
      </c>
      <c r="I124" s="293">
        <v>106.13420600000001</v>
      </c>
      <c r="J124" s="305">
        <v>601.49546091000002</v>
      </c>
    </row>
    <row r="125" spans="1:10" ht="14">
      <c r="A125" s="238">
        <v>2021</v>
      </c>
      <c r="B125" s="272" t="s">
        <v>105</v>
      </c>
      <c r="C125" s="306">
        <f t="shared" si="3"/>
        <v>5076.9464910199995</v>
      </c>
      <c r="D125" s="287">
        <v>778.57693502999996</v>
      </c>
      <c r="E125" s="287">
        <v>1184.1725561999999</v>
      </c>
      <c r="F125" s="287">
        <v>2218.5866162500001</v>
      </c>
      <c r="G125" s="287">
        <v>0</v>
      </c>
      <c r="H125" s="287">
        <v>187.83415579000001</v>
      </c>
      <c r="I125" s="287">
        <v>107.69211338</v>
      </c>
      <c r="J125" s="303">
        <v>600.08411437000007</v>
      </c>
    </row>
    <row r="126" spans="1:10" ht="14">
      <c r="A126" s="239"/>
      <c r="B126" s="273" t="s">
        <v>106</v>
      </c>
      <c r="C126" s="297">
        <f t="shared" si="3"/>
        <v>5212.5550852699998</v>
      </c>
      <c r="D126" s="290">
        <v>754.24850202999994</v>
      </c>
      <c r="E126" s="290">
        <v>1578.8651800799998</v>
      </c>
      <c r="F126" s="290">
        <v>1982.2200335200005</v>
      </c>
      <c r="G126" s="290">
        <v>0</v>
      </c>
      <c r="H126" s="290">
        <v>191.18552721</v>
      </c>
      <c r="I126" s="290">
        <v>108.90700005000001</v>
      </c>
      <c r="J126" s="304">
        <v>597.12884237999992</v>
      </c>
    </row>
    <row r="127" spans="1:10" ht="14">
      <c r="A127" s="239"/>
      <c r="B127" s="273" t="s">
        <v>107</v>
      </c>
      <c r="C127" s="297">
        <f t="shared" si="3"/>
        <v>5728.5053926599967</v>
      </c>
      <c r="D127" s="290">
        <v>747.19940073999999</v>
      </c>
      <c r="E127" s="290">
        <v>1973.7212110199994</v>
      </c>
      <c r="F127" s="290">
        <v>2091.3936381399976</v>
      </c>
      <c r="G127" s="290">
        <v>0</v>
      </c>
      <c r="H127" s="290">
        <v>205.16481556000002</v>
      </c>
      <c r="I127" s="290">
        <v>114.55411653</v>
      </c>
      <c r="J127" s="304">
        <v>596.47221066999998</v>
      </c>
    </row>
    <row r="128" spans="1:10" ht="14">
      <c r="A128" s="239"/>
      <c r="B128" s="273" t="s">
        <v>108</v>
      </c>
      <c r="C128" s="297">
        <f t="shared" si="3"/>
        <v>5103.0185391800005</v>
      </c>
      <c r="D128" s="290">
        <v>757.78910042999996</v>
      </c>
      <c r="E128" s="290">
        <v>1473.7742108700002</v>
      </c>
      <c r="F128" s="290">
        <v>1950.1441045200002</v>
      </c>
      <c r="G128" s="290">
        <v>0</v>
      </c>
      <c r="H128" s="290">
        <v>214.32340823999996</v>
      </c>
      <c r="I128" s="290">
        <v>111.98905065</v>
      </c>
      <c r="J128" s="304">
        <v>594.99866447000011</v>
      </c>
    </row>
    <row r="129" spans="1:10" ht="14">
      <c r="A129" s="239"/>
      <c r="B129" s="273" t="s">
        <v>109</v>
      </c>
      <c r="C129" s="297">
        <f t="shared" si="3"/>
        <v>5205.1945403099999</v>
      </c>
      <c r="D129" s="290">
        <v>782.72398330999999</v>
      </c>
      <c r="E129" s="290">
        <v>1506.65844765</v>
      </c>
      <c r="F129" s="290">
        <v>1988.1312574699998</v>
      </c>
      <c r="G129" s="290">
        <v>0</v>
      </c>
      <c r="H129" s="290">
        <v>216.00976565999997</v>
      </c>
      <c r="I129" s="290">
        <v>114.07676671</v>
      </c>
      <c r="J129" s="304">
        <v>597.59431950999999</v>
      </c>
    </row>
    <row r="130" spans="1:10" ht="14">
      <c r="A130" s="239"/>
      <c r="B130" s="273" t="s">
        <v>110</v>
      </c>
      <c r="C130" s="297">
        <f t="shared" si="3"/>
        <v>5684.761631540001</v>
      </c>
      <c r="D130" s="290">
        <v>763.33685969999999</v>
      </c>
      <c r="E130" s="290">
        <v>1975.3069615100003</v>
      </c>
      <c r="F130" s="290">
        <v>2008.1432848100001</v>
      </c>
      <c r="G130" s="290">
        <v>0</v>
      </c>
      <c r="H130" s="290">
        <v>220.62333197000001</v>
      </c>
      <c r="I130" s="290">
        <v>118.10591706999999</v>
      </c>
      <c r="J130" s="304">
        <v>599.24527647999992</v>
      </c>
    </row>
    <row r="131" spans="1:10" ht="14">
      <c r="A131" s="239"/>
      <c r="B131" s="273" t="s">
        <v>117</v>
      </c>
      <c r="C131" s="297">
        <f t="shared" si="3"/>
        <v>5176.1224534399998</v>
      </c>
      <c r="D131" s="290">
        <v>781.74772194999991</v>
      </c>
      <c r="E131" s="290">
        <v>1423.9499306299999</v>
      </c>
      <c r="F131" s="290">
        <v>2023.9272470599999</v>
      </c>
      <c r="G131" s="290">
        <v>0</v>
      </c>
      <c r="H131" s="290">
        <v>224.30886587000001</v>
      </c>
      <c r="I131" s="290">
        <v>118.35297207999999</v>
      </c>
      <c r="J131" s="304">
        <v>603.83571585000016</v>
      </c>
    </row>
    <row r="132" spans="1:10" ht="14">
      <c r="A132" s="239"/>
      <c r="B132" s="273" t="s">
        <v>112</v>
      </c>
      <c r="C132" s="297">
        <f t="shared" si="3"/>
        <v>5876.0435630599995</v>
      </c>
      <c r="D132" s="290">
        <v>1326.1975108499998</v>
      </c>
      <c r="E132" s="290">
        <v>1529.7932863199999</v>
      </c>
      <c r="F132" s="290">
        <v>2076.9665677300004</v>
      </c>
      <c r="G132" s="290">
        <v>0</v>
      </c>
      <c r="H132" s="290">
        <v>226.69960117000002</v>
      </c>
      <c r="I132" s="290">
        <v>118.12748982999999</v>
      </c>
      <c r="J132" s="304">
        <v>598.25910716000021</v>
      </c>
    </row>
    <row r="133" spans="1:10" ht="14">
      <c r="A133" s="239"/>
      <c r="B133" s="273" t="s">
        <v>113</v>
      </c>
      <c r="C133" s="297">
        <f t="shared" si="3"/>
        <v>6451.3185879299999</v>
      </c>
      <c r="D133" s="290">
        <v>1316.5211535000001</v>
      </c>
      <c r="E133" s="290">
        <v>2130.6865494799999</v>
      </c>
      <c r="F133" s="290">
        <v>2052.2739833399996</v>
      </c>
      <c r="G133" s="290">
        <v>0</v>
      </c>
      <c r="H133" s="290">
        <v>220.12943197999999</v>
      </c>
      <c r="I133" s="290">
        <v>76.55477175</v>
      </c>
      <c r="J133" s="304">
        <v>655.15269788000012</v>
      </c>
    </row>
    <row r="134" spans="1:10" ht="14">
      <c r="A134" s="239"/>
      <c r="B134" s="273" t="s">
        <v>114</v>
      </c>
      <c r="C134" s="297">
        <f t="shared" ref="C134:C187" si="4">SUM(D134:J134)</f>
        <v>5996.4636979400002</v>
      </c>
      <c r="D134" s="290">
        <v>1311.9104129499999</v>
      </c>
      <c r="E134" s="290">
        <v>1620.5527067099997</v>
      </c>
      <c r="F134" s="290">
        <v>2106.74369987</v>
      </c>
      <c r="G134" s="290">
        <v>0</v>
      </c>
      <c r="H134" s="290">
        <v>230.16220518999995</v>
      </c>
      <c r="I134" s="290">
        <v>76.483224589999992</v>
      </c>
      <c r="J134" s="304">
        <v>650.61144863000004</v>
      </c>
    </row>
    <row r="135" spans="1:10" ht="14">
      <c r="A135" s="239"/>
      <c r="B135" s="273" t="s">
        <v>115</v>
      </c>
      <c r="C135" s="297">
        <f t="shared" si="4"/>
        <v>6036.2810266400011</v>
      </c>
      <c r="D135" s="290">
        <v>1332.0662781000001</v>
      </c>
      <c r="E135" s="290">
        <v>1375.9447346199995</v>
      </c>
      <c r="F135" s="290">
        <v>2358.5978699700013</v>
      </c>
      <c r="G135" s="290">
        <v>0</v>
      </c>
      <c r="H135" s="290">
        <v>228.58838245999996</v>
      </c>
      <c r="I135" s="290">
        <v>77.586293629999986</v>
      </c>
      <c r="J135" s="304">
        <v>663.49746786000014</v>
      </c>
    </row>
    <row r="136" spans="1:10" ht="14">
      <c r="A136" s="240"/>
      <c r="B136" s="274" t="s">
        <v>116</v>
      </c>
      <c r="C136" s="299">
        <f t="shared" si="4"/>
        <v>7087.3828572499988</v>
      </c>
      <c r="D136" s="293">
        <v>1320.4258119200001</v>
      </c>
      <c r="E136" s="293">
        <v>2555.2409720100004</v>
      </c>
      <c r="F136" s="293">
        <v>2236.3098937499985</v>
      </c>
      <c r="G136" s="293">
        <v>0</v>
      </c>
      <c r="H136" s="293">
        <v>232.99162994999995</v>
      </c>
      <c r="I136" s="293">
        <v>82.364495339999991</v>
      </c>
      <c r="J136" s="305">
        <v>660.05005428000015</v>
      </c>
    </row>
    <row r="137" spans="1:10" ht="14">
      <c r="A137" s="238">
        <v>2022</v>
      </c>
      <c r="B137" s="272" t="s">
        <v>105</v>
      </c>
      <c r="C137" s="287">
        <f t="shared" si="4"/>
        <v>6011.7196516899985</v>
      </c>
      <c r="D137" s="287">
        <v>1309.9146612899999</v>
      </c>
      <c r="E137" s="287">
        <v>1302.0045157399998</v>
      </c>
      <c r="F137" s="287">
        <v>2438.5960245599995</v>
      </c>
      <c r="G137" s="287">
        <v>0</v>
      </c>
      <c r="H137" s="287">
        <v>224.56661444999997</v>
      </c>
      <c r="I137" s="287">
        <v>82.21120999</v>
      </c>
      <c r="J137" s="303">
        <v>654.42662566000013</v>
      </c>
    </row>
    <row r="138" spans="1:10" ht="14">
      <c r="A138" s="239"/>
      <c r="B138" s="273" t="s">
        <v>106</v>
      </c>
      <c r="C138" s="290">
        <f t="shared" si="4"/>
        <v>5791.9328756400009</v>
      </c>
      <c r="D138" s="290">
        <v>1332.78559836</v>
      </c>
      <c r="E138" s="290">
        <v>1303.78998078</v>
      </c>
      <c r="F138" s="290">
        <v>2199.6252996500007</v>
      </c>
      <c r="G138" s="290">
        <v>0</v>
      </c>
      <c r="H138" s="290">
        <v>219.98489050999999</v>
      </c>
      <c r="I138" s="290">
        <v>82.159790900000004</v>
      </c>
      <c r="J138" s="304">
        <v>653.58731544000011</v>
      </c>
    </row>
    <row r="139" spans="1:10" ht="14">
      <c r="A139" s="239"/>
      <c r="B139" s="273" t="s">
        <v>107</v>
      </c>
      <c r="C139" s="290">
        <f t="shared" si="4"/>
        <v>6887.2286556400004</v>
      </c>
      <c r="D139" s="290">
        <v>1331.21937342</v>
      </c>
      <c r="E139" s="290">
        <v>2440.7205899399996</v>
      </c>
      <c r="F139" s="290">
        <v>2200.6989852300012</v>
      </c>
      <c r="G139" s="290">
        <v>0</v>
      </c>
      <c r="H139" s="290">
        <v>225.51685690999997</v>
      </c>
      <c r="I139" s="290">
        <v>81.955818570000005</v>
      </c>
      <c r="J139" s="304">
        <v>607.11703157000011</v>
      </c>
    </row>
    <row r="140" spans="1:10" ht="14">
      <c r="A140" s="239"/>
      <c r="B140" s="273" t="s">
        <v>108</v>
      </c>
      <c r="C140" s="290">
        <f t="shared" si="4"/>
        <v>5743.3677311599995</v>
      </c>
      <c r="D140" s="290">
        <v>1328.0661662099999</v>
      </c>
      <c r="E140" s="290">
        <v>1424.4089767299997</v>
      </c>
      <c r="F140" s="290">
        <v>2095.6800035599995</v>
      </c>
      <c r="G140" s="290">
        <v>0</v>
      </c>
      <c r="H140" s="290">
        <v>209.24480128999997</v>
      </c>
      <c r="I140" s="290">
        <v>81.700222929999995</v>
      </c>
      <c r="J140" s="304">
        <v>604.26756044000012</v>
      </c>
    </row>
    <row r="141" spans="1:10" ht="14">
      <c r="A141" s="239"/>
      <c r="B141" s="273" t="s">
        <v>109</v>
      </c>
      <c r="C141" s="290">
        <f t="shared" si="4"/>
        <v>5649.1666313799997</v>
      </c>
      <c r="D141" s="290">
        <v>1305.62137669</v>
      </c>
      <c r="E141" s="290">
        <v>1336.3566710299997</v>
      </c>
      <c r="F141" s="290">
        <v>2116.74340416</v>
      </c>
      <c r="G141" s="290">
        <v>0</v>
      </c>
      <c r="H141" s="290">
        <v>208.47853717999999</v>
      </c>
      <c r="I141" s="290">
        <v>81.534450230000004</v>
      </c>
      <c r="J141" s="304">
        <v>600.43219208999994</v>
      </c>
    </row>
    <row r="142" spans="1:10" ht="14">
      <c r="A142" s="239"/>
      <c r="B142" s="273" t="s">
        <v>110</v>
      </c>
      <c r="C142" s="290">
        <f t="shared" si="4"/>
        <v>7213.6425321600009</v>
      </c>
      <c r="D142" s="290">
        <v>1306.2907979199999</v>
      </c>
      <c r="E142" s="290">
        <v>2824.6653637599998</v>
      </c>
      <c r="F142" s="290">
        <v>2227.9939930700002</v>
      </c>
      <c r="G142" s="290">
        <v>0</v>
      </c>
      <c r="H142" s="290">
        <v>193.74181064999999</v>
      </c>
      <c r="I142" s="290">
        <v>82.058392999999995</v>
      </c>
      <c r="J142" s="304">
        <v>578.89217376000011</v>
      </c>
    </row>
    <row r="143" spans="1:10" ht="14">
      <c r="A143" s="239"/>
      <c r="B143" s="273" t="s">
        <v>117</v>
      </c>
      <c r="C143" s="290">
        <f t="shared" si="4"/>
        <v>5547.7163920499988</v>
      </c>
      <c r="D143" s="290">
        <v>1276.8552083999998</v>
      </c>
      <c r="E143" s="290">
        <v>1210.7376542899999</v>
      </c>
      <c r="F143" s="290">
        <v>2203.2688339199995</v>
      </c>
      <c r="G143" s="290">
        <v>0</v>
      </c>
      <c r="H143" s="290">
        <v>204.55628720000001</v>
      </c>
      <c r="I143" s="290">
        <v>82.05678825999999</v>
      </c>
      <c r="J143" s="304">
        <v>570.24161998</v>
      </c>
    </row>
    <row r="144" spans="1:10" ht="14">
      <c r="A144" s="239"/>
      <c r="B144" s="273" t="s">
        <v>112</v>
      </c>
      <c r="C144" s="290">
        <f t="shared" si="4"/>
        <v>5725.2831784799992</v>
      </c>
      <c r="D144" s="290">
        <v>1270.176641</v>
      </c>
      <c r="E144" s="290">
        <v>1379.7332994100004</v>
      </c>
      <c r="F144" s="290">
        <v>2224.8704176499991</v>
      </c>
      <c r="G144" s="290">
        <v>0</v>
      </c>
      <c r="H144" s="290">
        <v>198.84615073999996</v>
      </c>
      <c r="I144" s="290">
        <v>82.649257399999982</v>
      </c>
      <c r="J144" s="304">
        <v>569.00741228000004</v>
      </c>
    </row>
    <row r="145" spans="1:10" ht="14">
      <c r="A145" s="239"/>
      <c r="B145" s="273" t="s">
        <v>113</v>
      </c>
      <c r="C145" s="290">
        <f t="shared" si="4"/>
        <v>7003.75314678</v>
      </c>
      <c r="D145" s="290">
        <v>1279.86505732</v>
      </c>
      <c r="E145" s="290">
        <v>2658.5183943299999</v>
      </c>
      <c r="F145" s="290">
        <v>2220.3508920699996</v>
      </c>
      <c r="G145" s="290">
        <v>0</v>
      </c>
      <c r="H145" s="290">
        <v>186.80533014</v>
      </c>
      <c r="I145" s="290">
        <v>82.753351329999987</v>
      </c>
      <c r="J145" s="304">
        <v>575.46012159000009</v>
      </c>
    </row>
    <row r="146" spans="1:10" ht="14">
      <c r="A146" s="239"/>
      <c r="B146" s="273" t="s">
        <v>114</v>
      </c>
      <c r="C146" s="290">
        <f t="shared" si="4"/>
        <v>5534.6027181899999</v>
      </c>
      <c r="D146" s="290">
        <v>1255.9248255099999</v>
      </c>
      <c r="E146" s="290">
        <v>1261.1106091500001</v>
      </c>
      <c r="F146" s="290">
        <v>2181.6341792099993</v>
      </c>
      <c r="G146" s="290">
        <v>0</v>
      </c>
      <c r="H146" s="290">
        <v>183.77874692999998</v>
      </c>
      <c r="I146" s="290">
        <v>84.666992779999987</v>
      </c>
      <c r="J146" s="304">
        <v>567.4873646100001</v>
      </c>
    </row>
    <row r="147" spans="1:10" ht="14">
      <c r="A147" s="239"/>
      <c r="B147" s="273" t="s">
        <v>115</v>
      </c>
      <c r="C147" s="290">
        <f t="shared" si="4"/>
        <v>5711.992591780001</v>
      </c>
      <c r="D147" s="290">
        <v>1265.0355860099999</v>
      </c>
      <c r="E147" s="290">
        <v>1348.2668106100002</v>
      </c>
      <c r="F147" s="290">
        <v>2253.1311286800005</v>
      </c>
      <c r="G147" s="290">
        <v>0</v>
      </c>
      <c r="H147" s="290">
        <v>191.69553559999997</v>
      </c>
      <c r="I147" s="290">
        <v>88.155549810000011</v>
      </c>
      <c r="J147" s="304">
        <v>565.7079810700003</v>
      </c>
    </row>
    <row r="148" spans="1:10" ht="14">
      <c r="A148" s="240"/>
      <c r="B148" s="274" t="s">
        <v>116</v>
      </c>
      <c r="C148" s="293">
        <f t="shared" si="4"/>
        <v>7052.1607012900013</v>
      </c>
      <c r="D148" s="293">
        <v>1267.0231908600001</v>
      </c>
      <c r="E148" s="293">
        <v>2750.1275797400008</v>
      </c>
      <c r="F148" s="293">
        <v>2209.2267206400002</v>
      </c>
      <c r="G148" s="293">
        <v>0</v>
      </c>
      <c r="H148" s="293">
        <v>176.52498003999995</v>
      </c>
      <c r="I148" s="293">
        <v>84.700236290000007</v>
      </c>
      <c r="J148" s="305">
        <v>564.55799372000024</v>
      </c>
    </row>
    <row r="149" spans="1:10" ht="14">
      <c r="A149" s="238">
        <v>2023</v>
      </c>
      <c r="B149" s="272" t="s">
        <v>105</v>
      </c>
      <c r="C149" s="287">
        <f t="shared" si="4"/>
        <v>5922.5357905699993</v>
      </c>
      <c r="D149" s="287">
        <v>1267.1631001400001</v>
      </c>
      <c r="E149" s="287">
        <v>1477.3158477500001</v>
      </c>
      <c r="F149" s="287">
        <v>2352.2750849199992</v>
      </c>
      <c r="G149" s="287">
        <v>0</v>
      </c>
      <c r="H149" s="287">
        <v>185.02150662999998</v>
      </c>
      <c r="I149" s="287">
        <v>84.431052480000005</v>
      </c>
      <c r="J149" s="303">
        <v>556.32919865000019</v>
      </c>
    </row>
    <row r="150" spans="1:10" ht="14">
      <c r="A150" s="239"/>
      <c r="B150" s="273" t="s">
        <v>106</v>
      </c>
      <c r="C150" s="290">
        <f t="shared" si="4"/>
        <v>5722.4199999999992</v>
      </c>
      <c r="D150" s="290">
        <v>1266.7640000000001</v>
      </c>
      <c r="E150" s="290">
        <v>1350.4449999999999</v>
      </c>
      <c r="F150" s="290">
        <v>2275.2069999999999</v>
      </c>
      <c r="G150" s="290">
        <v>0</v>
      </c>
      <c r="H150" s="290">
        <v>183.52600000000001</v>
      </c>
      <c r="I150" s="290">
        <v>84.341000000000008</v>
      </c>
      <c r="J150" s="304">
        <v>562.13699999999994</v>
      </c>
    </row>
    <row r="151" spans="1:10" ht="14">
      <c r="A151" s="239"/>
      <c r="B151" s="273" t="s">
        <v>107</v>
      </c>
      <c r="C151" s="290">
        <f t="shared" si="4"/>
        <v>6001.2876534100014</v>
      </c>
      <c r="D151" s="290">
        <v>1289.36822381</v>
      </c>
      <c r="E151" s="290">
        <v>1651.3166224900001</v>
      </c>
      <c r="F151" s="290">
        <v>2227.7218440400011</v>
      </c>
      <c r="G151" s="290">
        <v>0</v>
      </c>
      <c r="H151" s="290">
        <v>186.98388172999995</v>
      </c>
      <c r="I151" s="290">
        <v>85.645728660000003</v>
      </c>
      <c r="J151" s="304">
        <v>560.25135268000008</v>
      </c>
    </row>
    <row r="152" spans="1:10" ht="14">
      <c r="A152" s="239"/>
      <c r="B152" s="273" t="s">
        <v>108</v>
      </c>
      <c r="C152" s="290">
        <f t="shared" si="4"/>
        <v>5706.1629999999996</v>
      </c>
      <c r="D152" s="290">
        <v>1297.2179999999998</v>
      </c>
      <c r="E152" s="290">
        <v>1442.7719999999999</v>
      </c>
      <c r="F152" s="290">
        <v>2126.5659999999998</v>
      </c>
      <c r="G152" s="290">
        <v>0</v>
      </c>
      <c r="H152" s="290">
        <v>190.67099999999999</v>
      </c>
      <c r="I152" s="290">
        <v>85.19</v>
      </c>
      <c r="J152" s="304">
        <v>563.74599999999998</v>
      </c>
    </row>
    <row r="153" spans="1:10" ht="14">
      <c r="A153" s="239"/>
      <c r="B153" s="273" t="s">
        <v>109</v>
      </c>
      <c r="C153" s="290">
        <f t="shared" si="4"/>
        <v>5757.7842946399996</v>
      </c>
      <c r="D153" s="290">
        <v>1315.3628106799999</v>
      </c>
      <c r="E153" s="290">
        <v>1448.5218174000001</v>
      </c>
      <c r="F153" s="290">
        <v>2177.9144370799991</v>
      </c>
      <c r="G153" s="290">
        <v>0</v>
      </c>
      <c r="H153" s="290">
        <v>166.96752628999997</v>
      </c>
      <c r="I153" s="290">
        <v>85.09398044000001</v>
      </c>
      <c r="J153" s="304">
        <v>563.92372275000025</v>
      </c>
    </row>
    <row r="154" spans="1:10" ht="14">
      <c r="A154" s="239"/>
      <c r="B154" s="273" t="s">
        <v>110</v>
      </c>
      <c r="C154" s="290">
        <f t="shared" si="4"/>
        <v>5717.2532006399997</v>
      </c>
      <c r="D154" s="290">
        <v>1307.8439781500001</v>
      </c>
      <c r="E154" s="290">
        <v>1377.9145240400003</v>
      </c>
      <c r="F154" s="290">
        <v>2195.899344559999</v>
      </c>
      <c r="G154" s="290">
        <v>0</v>
      </c>
      <c r="H154" s="290">
        <v>175.59234750999997</v>
      </c>
      <c r="I154" s="290">
        <v>93.99755347</v>
      </c>
      <c r="J154" s="304">
        <v>566.00545291000026</v>
      </c>
    </row>
    <row r="155" spans="1:10" ht="14">
      <c r="A155" s="239"/>
      <c r="B155" s="273" t="s">
        <v>117</v>
      </c>
      <c r="C155" s="290">
        <f t="shared" si="4"/>
        <v>5630.0579362499993</v>
      </c>
      <c r="D155" s="290">
        <v>1289.4501253099997</v>
      </c>
      <c r="E155" s="290">
        <v>1385.9739527799998</v>
      </c>
      <c r="F155" s="290">
        <v>2123.2359396400002</v>
      </c>
      <c r="G155" s="290">
        <v>0</v>
      </c>
      <c r="H155" s="290">
        <v>178.52686459</v>
      </c>
      <c r="I155" s="290">
        <v>91.502816780000003</v>
      </c>
      <c r="J155" s="304">
        <v>561.36823715000025</v>
      </c>
    </row>
    <row r="156" spans="1:10" ht="14">
      <c r="A156" s="239"/>
      <c r="B156" s="273" t="s">
        <v>112</v>
      </c>
      <c r="C156" s="290">
        <f t="shared" si="4"/>
        <v>5728.5468846299982</v>
      </c>
      <c r="D156" s="290">
        <v>1294.8322881099998</v>
      </c>
      <c r="E156" s="290">
        <v>1423.1593742000002</v>
      </c>
      <c r="F156" s="290">
        <v>2178.7885174199987</v>
      </c>
      <c r="G156" s="290">
        <v>0</v>
      </c>
      <c r="H156" s="290">
        <v>176.21539121000004</v>
      </c>
      <c r="I156" s="290">
        <v>91.532466849999992</v>
      </c>
      <c r="J156" s="304">
        <v>564.01884684000015</v>
      </c>
    </row>
    <row r="157" spans="1:10" ht="14">
      <c r="A157" s="239"/>
      <c r="B157" s="273" t="s">
        <v>113</v>
      </c>
      <c r="C157" s="290">
        <f t="shared" si="4"/>
        <v>5737.7800383300009</v>
      </c>
      <c r="D157" s="290">
        <v>1284.0274742199999</v>
      </c>
      <c r="E157" s="290">
        <v>1584.1988540500001</v>
      </c>
      <c r="F157" s="290">
        <v>2042.1022527200003</v>
      </c>
      <c r="G157" s="290">
        <v>0</v>
      </c>
      <c r="H157" s="290">
        <v>171.76353789000004</v>
      </c>
      <c r="I157" s="290">
        <v>91.612761919999997</v>
      </c>
      <c r="J157" s="304">
        <v>564.07515752999996</v>
      </c>
    </row>
    <row r="158" spans="1:10" ht="14">
      <c r="A158" s="239"/>
      <c r="B158" s="273" t="s">
        <v>114</v>
      </c>
      <c r="C158" s="290">
        <f t="shared" si="4"/>
        <v>5630.6473262499985</v>
      </c>
      <c r="D158" s="290">
        <v>1311.54012414</v>
      </c>
      <c r="E158" s="290">
        <v>1464.0523061999997</v>
      </c>
      <c r="F158" s="290">
        <v>2031.85959862</v>
      </c>
      <c r="G158" s="290">
        <v>0</v>
      </c>
      <c r="H158" s="290">
        <v>167.00222100000002</v>
      </c>
      <c r="I158" s="290">
        <v>91.668382789999995</v>
      </c>
      <c r="J158" s="304">
        <v>564.52469350000001</v>
      </c>
    </row>
    <row r="159" spans="1:10" ht="14">
      <c r="A159" s="239"/>
      <c r="B159" s="273" t="s">
        <v>115</v>
      </c>
      <c r="C159" s="290">
        <f t="shared" si="4"/>
        <v>5795.7056235699984</v>
      </c>
      <c r="D159" s="290">
        <v>1298.8873232099997</v>
      </c>
      <c r="E159" s="290">
        <v>1461.02589137</v>
      </c>
      <c r="F159" s="290">
        <v>2209.8261976899998</v>
      </c>
      <c r="G159" s="290">
        <v>0</v>
      </c>
      <c r="H159" s="290">
        <v>175.34580408000002</v>
      </c>
      <c r="I159" s="290">
        <v>92.13031088999999</v>
      </c>
      <c r="J159" s="304">
        <v>558.49009633000003</v>
      </c>
    </row>
    <row r="160" spans="1:10" ht="14">
      <c r="A160" s="240"/>
      <c r="B160" s="274" t="s">
        <v>116</v>
      </c>
      <c r="C160" s="293">
        <f t="shared" si="4"/>
        <v>6144.0186475499995</v>
      </c>
      <c r="D160" s="293">
        <v>1305.2974060999998</v>
      </c>
      <c r="E160" s="293">
        <v>1988.0215639399999</v>
      </c>
      <c r="F160" s="293">
        <v>2012.6448604199993</v>
      </c>
      <c r="G160" s="293">
        <v>0</v>
      </c>
      <c r="H160" s="293">
        <v>180.31463182000005</v>
      </c>
      <c r="I160" s="307">
        <v>97.629529759999983</v>
      </c>
      <c r="J160" s="305">
        <v>560.11065551000002</v>
      </c>
    </row>
    <row r="161" spans="1:10" ht="14">
      <c r="A161" s="238">
        <v>2024</v>
      </c>
      <c r="B161" s="272" t="s">
        <v>105</v>
      </c>
      <c r="C161" s="287">
        <f t="shared" si="4"/>
        <v>5887.7027523299985</v>
      </c>
      <c r="D161" s="287">
        <v>1306.86434487</v>
      </c>
      <c r="E161" s="287">
        <v>1625.6941781399996</v>
      </c>
      <c r="F161" s="287">
        <v>2114.4470812099989</v>
      </c>
      <c r="G161" s="287">
        <v>0</v>
      </c>
      <c r="H161" s="287">
        <v>182.70408768000001</v>
      </c>
      <c r="I161" s="287">
        <v>97.400341559999987</v>
      </c>
      <c r="J161" s="303">
        <v>560.59271887</v>
      </c>
    </row>
    <row r="162" spans="1:10" ht="14">
      <c r="A162" s="239"/>
      <c r="B162" s="273" t="s">
        <v>106</v>
      </c>
      <c r="C162" s="290">
        <f t="shared" si="4"/>
        <v>5887.1304911300003</v>
      </c>
      <c r="D162" s="290">
        <v>1310.0272568999999</v>
      </c>
      <c r="E162" s="290">
        <v>1654.3210128599999</v>
      </c>
      <c r="F162" s="290">
        <v>2074.2316429700004</v>
      </c>
      <c r="G162" s="290">
        <v>0</v>
      </c>
      <c r="H162" s="290">
        <v>189.59507887000001</v>
      </c>
      <c r="I162" s="290">
        <v>97.812416049999996</v>
      </c>
      <c r="J162" s="304">
        <v>561.14308348000009</v>
      </c>
    </row>
    <row r="163" spans="1:10" ht="14">
      <c r="A163" s="239"/>
      <c r="B163" s="273" t="s">
        <v>107</v>
      </c>
      <c r="C163" s="290">
        <f t="shared" si="4"/>
        <v>6211.6170234099991</v>
      </c>
      <c r="D163" s="290">
        <v>1343.4841938499999</v>
      </c>
      <c r="E163" s="290">
        <v>1834.5714466000002</v>
      </c>
      <c r="F163" s="290">
        <v>2179.1830836199979</v>
      </c>
      <c r="G163" s="290">
        <v>0</v>
      </c>
      <c r="H163" s="290">
        <v>196.19064158000003</v>
      </c>
      <c r="I163" s="290">
        <v>97.537358530000006</v>
      </c>
      <c r="J163" s="304">
        <v>560.65029922999997</v>
      </c>
    </row>
    <row r="164" spans="1:10" ht="14">
      <c r="A164" s="239"/>
      <c r="B164" s="273" t="s">
        <v>108</v>
      </c>
      <c r="C164" s="290">
        <f t="shared" si="4"/>
        <v>5891.3728206899996</v>
      </c>
      <c r="D164" s="290">
        <v>1371.8491785800002</v>
      </c>
      <c r="E164" s="290">
        <v>1506.65950774</v>
      </c>
      <c r="F164" s="290">
        <v>2158.6589003799991</v>
      </c>
      <c r="G164" s="290">
        <v>0</v>
      </c>
      <c r="H164" s="290">
        <v>193.09273656999997</v>
      </c>
      <c r="I164" s="290">
        <v>97.117323660000011</v>
      </c>
      <c r="J164" s="304">
        <v>563.99517375999994</v>
      </c>
    </row>
    <row r="165" spans="1:10" ht="14">
      <c r="A165" s="239"/>
      <c r="B165" s="273" t="s">
        <v>109</v>
      </c>
      <c r="C165" s="290">
        <f t="shared" si="4"/>
        <v>5780.8153536900008</v>
      </c>
      <c r="D165" s="290">
        <v>1373.52564545</v>
      </c>
      <c r="E165" s="290">
        <v>1431.4271451500003</v>
      </c>
      <c r="F165" s="290">
        <v>2118.2977989600008</v>
      </c>
      <c r="G165" s="290">
        <v>0</v>
      </c>
      <c r="H165" s="290">
        <v>197.59895376</v>
      </c>
      <c r="I165" s="290">
        <v>97.498940650000009</v>
      </c>
      <c r="J165" s="304">
        <v>562.46686972000009</v>
      </c>
    </row>
    <row r="166" spans="1:10" ht="14">
      <c r="A166" s="239"/>
      <c r="B166" s="273" t="s">
        <v>110</v>
      </c>
      <c r="C166" s="290">
        <f t="shared" si="4"/>
        <v>5801.3132912199999</v>
      </c>
      <c r="D166" s="290">
        <v>1370.89811341</v>
      </c>
      <c r="E166" s="290">
        <v>1480.76796066</v>
      </c>
      <c r="F166" s="290">
        <v>2087.7455921000005</v>
      </c>
      <c r="G166" s="290">
        <v>0</v>
      </c>
      <c r="H166" s="290">
        <v>201.96015896999998</v>
      </c>
      <c r="I166" s="290">
        <v>97.465308700000008</v>
      </c>
      <c r="J166" s="304">
        <v>562.47615738000002</v>
      </c>
    </row>
    <row r="167" spans="1:10" ht="14">
      <c r="A167" s="239"/>
      <c r="B167" s="273" t="s">
        <v>117</v>
      </c>
      <c r="C167" s="290">
        <f t="shared" si="4"/>
        <v>5904.9000861099994</v>
      </c>
      <c r="D167" s="290">
        <v>1382.35633138</v>
      </c>
      <c r="E167" s="290">
        <v>1392.4695219099999</v>
      </c>
      <c r="F167" s="290">
        <v>2268.8298346299998</v>
      </c>
      <c r="G167" s="290">
        <v>0</v>
      </c>
      <c r="H167" s="290">
        <v>201.85556097000003</v>
      </c>
      <c r="I167" s="290">
        <v>97.453326690000011</v>
      </c>
      <c r="J167" s="304">
        <v>561.93551052999987</v>
      </c>
    </row>
    <row r="168" spans="1:10" ht="14">
      <c r="A168" s="239"/>
      <c r="B168" s="273" t="s">
        <v>112</v>
      </c>
      <c r="C168" s="290">
        <f t="shared" si="4"/>
        <v>5747.6009999999987</v>
      </c>
      <c r="D168" s="290">
        <v>1372.4829999999999</v>
      </c>
      <c r="E168" s="290">
        <v>1394.0919999999999</v>
      </c>
      <c r="F168" s="290">
        <v>2133.2959999999998</v>
      </c>
      <c r="G168" s="290">
        <v>0</v>
      </c>
      <c r="H168" s="290">
        <v>200.023</v>
      </c>
      <c r="I168" s="290">
        <v>97.614000000000004</v>
      </c>
      <c r="J168" s="304">
        <v>550.09299999999996</v>
      </c>
    </row>
    <row r="169" spans="1:10" ht="14">
      <c r="A169" s="239"/>
      <c r="B169" s="273" t="s">
        <v>113</v>
      </c>
      <c r="C169" s="290">
        <f t="shared" si="4"/>
        <v>5761.9495497899998</v>
      </c>
      <c r="D169" s="290">
        <v>1377.30428235</v>
      </c>
      <c r="E169" s="290">
        <v>1415.4751917199999</v>
      </c>
      <c r="F169" s="290">
        <v>2126.0180858899989</v>
      </c>
      <c r="G169" s="290">
        <v>0</v>
      </c>
      <c r="H169" s="290">
        <v>201.56405929000002</v>
      </c>
      <c r="I169" s="290">
        <v>96.75663591</v>
      </c>
      <c r="J169" s="304">
        <v>544.83129462999989</v>
      </c>
    </row>
    <row r="170" spans="1:10" ht="14">
      <c r="A170" s="239"/>
      <c r="B170" s="273" t="s">
        <v>114</v>
      </c>
      <c r="C170" s="290">
        <f t="shared" si="4"/>
        <v>5926.1644930599978</v>
      </c>
      <c r="D170" s="290">
        <v>1425.96325209</v>
      </c>
      <c r="E170" s="290">
        <v>1417.2758774600002</v>
      </c>
      <c r="F170" s="290">
        <v>2230.4995265299981</v>
      </c>
      <c r="G170" s="290">
        <v>0</v>
      </c>
      <c r="H170" s="290">
        <v>202.98155222</v>
      </c>
      <c r="I170" s="290">
        <v>96.722245979999997</v>
      </c>
      <c r="J170" s="304">
        <v>552.72203878000005</v>
      </c>
    </row>
    <row r="171" spans="1:10" ht="14">
      <c r="A171" s="239"/>
      <c r="B171" s="273" t="s">
        <v>115</v>
      </c>
      <c r="C171" s="290">
        <f t="shared" si="4"/>
        <v>5889.9640171700003</v>
      </c>
      <c r="D171" s="290">
        <v>1421.5583236699999</v>
      </c>
      <c r="E171" s="290">
        <v>1470.5198798899999</v>
      </c>
      <c r="F171" s="290">
        <v>2132.889342850001</v>
      </c>
      <c r="G171" s="290">
        <v>0</v>
      </c>
      <c r="H171" s="290">
        <v>213.00622069999997</v>
      </c>
      <c r="I171" s="290">
        <v>96.70416800000001</v>
      </c>
      <c r="J171" s="304">
        <v>555.28608206000001</v>
      </c>
    </row>
    <row r="172" spans="1:10" ht="14">
      <c r="A172" s="240"/>
      <c r="B172" s="274" t="s">
        <v>116</v>
      </c>
      <c r="C172" s="293">
        <f t="shared" si="4"/>
        <v>6101.7823503900008</v>
      </c>
      <c r="D172" s="293">
        <v>1419.6703781400001</v>
      </c>
      <c r="E172" s="293">
        <v>1545.8382383299995</v>
      </c>
      <c r="F172" s="293">
        <v>2272.925011400001</v>
      </c>
      <c r="G172" s="293">
        <v>0</v>
      </c>
      <c r="H172" s="293">
        <v>211.45319199999997</v>
      </c>
      <c r="I172" s="293">
        <v>97.204647839999993</v>
      </c>
      <c r="J172" s="305">
        <v>554.69088267999996</v>
      </c>
    </row>
    <row r="173" spans="1:10" ht="14">
      <c r="A173" s="238">
        <v>2025</v>
      </c>
      <c r="B173" s="272" t="s">
        <v>105</v>
      </c>
      <c r="C173" s="287">
        <f t="shared" si="4"/>
        <v>6022.479929959999</v>
      </c>
      <c r="D173" s="287">
        <v>1456.7603569100002</v>
      </c>
      <c r="E173" s="287">
        <v>1447.45408372</v>
      </c>
      <c r="F173" s="287">
        <v>2250.8895611099992</v>
      </c>
      <c r="G173" s="287">
        <v>0</v>
      </c>
      <c r="H173" s="287">
        <v>215.71809913999999</v>
      </c>
      <c r="I173" s="702">
        <v>96.924064049999998</v>
      </c>
      <c r="J173" s="487">
        <v>554.73376502999997</v>
      </c>
    </row>
    <row r="174" spans="1:10" ht="14">
      <c r="A174" s="239"/>
      <c r="B174" s="273" t="s">
        <v>106</v>
      </c>
      <c r="C174" s="290">
        <f t="shared" si="4"/>
        <v>5839.0410494000007</v>
      </c>
      <c r="D174" s="290">
        <v>1457.9631183300003</v>
      </c>
      <c r="E174" s="290">
        <v>1385.2173255</v>
      </c>
      <c r="F174" s="290">
        <v>2132.8161388299995</v>
      </c>
      <c r="G174" s="290">
        <v>0</v>
      </c>
      <c r="H174" s="290">
        <v>211.81869068999998</v>
      </c>
      <c r="I174" s="290">
        <v>96.745300790000002</v>
      </c>
      <c r="J174" s="304">
        <v>554.48047525999993</v>
      </c>
    </row>
    <row r="175" spans="1:10" ht="14">
      <c r="A175" s="239"/>
      <c r="B175" s="273" t="s">
        <v>107</v>
      </c>
      <c r="C175" s="290">
        <f t="shared" si="4"/>
        <v>6530.0099773799993</v>
      </c>
      <c r="D175" s="290">
        <v>1517.10630322</v>
      </c>
      <c r="E175" s="290">
        <v>2132.0592368899997</v>
      </c>
      <c r="F175" s="290">
        <v>2021.3523579599996</v>
      </c>
      <c r="G175" s="290">
        <v>0</v>
      </c>
      <c r="H175" s="290">
        <v>205.03643009999999</v>
      </c>
      <c r="I175" s="290">
        <v>96.372424489999986</v>
      </c>
      <c r="J175" s="304">
        <v>558.08322471999998</v>
      </c>
    </row>
    <row r="176" spans="1:10" ht="14">
      <c r="A176" s="239"/>
      <c r="B176" s="273" t="s">
        <v>108</v>
      </c>
      <c r="C176" s="290">
        <f t="shared" si="4"/>
        <v>5939.227798429999</v>
      </c>
      <c r="D176" s="290">
        <v>1533.0937863300001</v>
      </c>
      <c r="E176" s="290">
        <v>1547.3230211600001</v>
      </c>
      <c r="F176" s="290">
        <v>1999.1647134999989</v>
      </c>
      <c r="G176" s="290">
        <v>0</v>
      </c>
      <c r="H176" s="290">
        <v>199.80768771999999</v>
      </c>
      <c r="I176" s="290">
        <v>103.02684832999998</v>
      </c>
      <c r="J176" s="304">
        <v>556.81174138999995</v>
      </c>
    </row>
    <row r="177" spans="1:10" ht="14">
      <c r="A177" s="239"/>
      <c r="B177" s="273" t="s">
        <v>109</v>
      </c>
      <c r="C177" s="290">
        <f t="shared" si="4"/>
        <v>5747.6846902300003</v>
      </c>
      <c r="D177" s="290">
        <v>1507.8431733599998</v>
      </c>
      <c r="E177" s="290">
        <v>1509.8300140600002</v>
      </c>
      <c r="F177" s="290">
        <v>1866.5867224199999</v>
      </c>
      <c r="G177" s="290">
        <v>0</v>
      </c>
      <c r="H177" s="290">
        <v>211.39340597999998</v>
      </c>
      <c r="I177" s="290">
        <v>102.96226399</v>
      </c>
      <c r="J177" s="304">
        <v>549.06911042000002</v>
      </c>
    </row>
    <row r="178" spans="1:10" ht="14">
      <c r="A178" s="239"/>
      <c r="B178" s="273" t="s">
        <v>110</v>
      </c>
      <c r="C178" s="290">
        <f t="shared" si="4"/>
        <v>5755.3134080999998</v>
      </c>
      <c r="D178" s="290">
        <v>1504.5132867299999</v>
      </c>
      <c r="E178" s="290">
        <v>1518.0956880700001</v>
      </c>
      <c r="F178" s="290">
        <v>1856.9199021100003</v>
      </c>
      <c r="G178" s="290">
        <v>0</v>
      </c>
      <c r="H178" s="290">
        <v>216.97387474999994</v>
      </c>
      <c r="I178" s="290">
        <v>108.42135644999999</v>
      </c>
      <c r="J178" s="304">
        <v>550.38929999000004</v>
      </c>
    </row>
    <row r="179" spans="1:10" ht="14">
      <c r="A179" s="239"/>
      <c r="B179" s="273" t="s">
        <v>117</v>
      </c>
      <c r="C179" s="290">
        <f t="shared" si="4"/>
        <v>5814.4752974500007</v>
      </c>
      <c r="D179" s="290">
        <v>1518.6868683199998</v>
      </c>
      <c r="E179" s="290">
        <v>1441.1037428899999</v>
      </c>
      <c r="F179" s="290">
        <v>1974.3088409899997</v>
      </c>
      <c r="G179" s="290">
        <v>0</v>
      </c>
      <c r="H179" s="290">
        <v>224.33441593999999</v>
      </c>
      <c r="I179" s="290">
        <v>105.29223434999999</v>
      </c>
      <c r="J179" s="304">
        <v>550.74919495999995</v>
      </c>
    </row>
    <row r="180" spans="1:10" ht="14">
      <c r="A180" s="239"/>
      <c r="B180" s="273" t="s">
        <v>112</v>
      </c>
      <c r="C180" s="290">
        <f t="shared" si="4"/>
        <v>5829.4728316500004</v>
      </c>
      <c r="D180" s="290">
        <v>1537.4313793900001</v>
      </c>
      <c r="E180" s="290">
        <v>1530.0760561399998</v>
      </c>
      <c r="F180" s="290">
        <v>1865.43074099</v>
      </c>
      <c r="G180" s="290">
        <v>0</v>
      </c>
      <c r="H180" s="290">
        <v>239.58906561000001</v>
      </c>
      <c r="I180" s="290">
        <v>105.23801917999999</v>
      </c>
      <c r="J180" s="304">
        <v>551.70757034000007</v>
      </c>
    </row>
    <row r="181" spans="1:10" ht="14">
      <c r="A181" s="239"/>
      <c r="B181" s="273" t="s">
        <v>113</v>
      </c>
      <c r="C181" s="290">
        <f t="shared" si="4"/>
        <v>6199.9372186499995</v>
      </c>
      <c r="D181" s="290">
        <v>1622.08129708</v>
      </c>
      <c r="E181" s="290">
        <v>1858.2391708099997</v>
      </c>
      <c r="F181" s="290">
        <v>1805.7788261399999</v>
      </c>
      <c r="G181" s="290">
        <v>0</v>
      </c>
      <c r="H181" s="290">
        <v>253.22991859999999</v>
      </c>
      <c r="I181" s="290">
        <v>105.14500964999999</v>
      </c>
      <c r="J181" s="304">
        <v>555.46299637000004</v>
      </c>
    </row>
    <row r="182" spans="1:10" ht="14">
      <c r="A182" s="239"/>
      <c r="B182" s="273" t="s">
        <v>114</v>
      </c>
      <c r="C182" s="290">
        <f t="shared" si="4"/>
        <v>5989.9352470599997</v>
      </c>
      <c r="D182" s="290">
        <v>1662.1217409400001</v>
      </c>
      <c r="E182" s="290">
        <v>1607.01951551</v>
      </c>
      <c r="F182" s="290">
        <v>1799.3351563699998</v>
      </c>
      <c r="G182" s="290">
        <v>0</v>
      </c>
      <c r="H182" s="290">
        <v>262.46818008999998</v>
      </c>
      <c r="I182" s="290">
        <v>105.15037651</v>
      </c>
      <c r="J182" s="304">
        <v>553.84027764000007</v>
      </c>
    </row>
    <row r="183" spans="1:10" ht="14">
      <c r="A183" s="239"/>
      <c r="B183" s="273" t="s">
        <v>115</v>
      </c>
      <c r="C183" s="290">
        <f t="shared" si="4"/>
        <v>6071.313117749999</v>
      </c>
      <c r="D183" s="290">
        <v>1692.7075930999999</v>
      </c>
      <c r="E183" s="290">
        <v>1621.6394880399998</v>
      </c>
      <c r="F183" s="290">
        <v>1835.3653154099998</v>
      </c>
      <c r="G183" s="290">
        <v>0</v>
      </c>
      <c r="H183" s="290">
        <v>262.43723403999996</v>
      </c>
      <c r="I183" s="301">
        <v>105.06605337000001</v>
      </c>
      <c r="J183" s="703">
        <v>554.09743378999997</v>
      </c>
    </row>
    <row r="184" spans="1:10" ht="14">
      <c r="A184" s="240"/>
      <c r="B184" s="274" t="s">
        <v>116</v>
      </c>
      <c r="C184" s="293">
        <f t="shared" si="4"/>
        <v>6841.1769113999999</v>
      </c>
      <c r="D184" s="293">
        <v>1716.1706676600002</v>
      </c>
      <c r="E184" s="293">
        <v>2172.9622021300002</v>
      </c>
      <c r="F184" s="293">
        <v>2031.4910532700001</v>
      </c>
      <c r="G184" s="293">
        <v>0</v>
      </c>
      <c r="H184" s="293">
        <v>262.94545303999996</v>
      </c>
      <c r="I184" s="293">
        <v>105.44239271000001</v>
      </c>
      <c r="J184" s="704">
        <v>552.16514259000007</v>
      </c>
    </row>
    <row r="185" spans="1:10" ht="14">
      <c r="A185" s="238">
        <v>2026</v>
      </c>
      <c r="B185" s="272" t="s">
        <v>105</v>
      </c>
      <c r="C185" s="287">
        <f t="shared" si="4"/>
        <v>6180.8895247099999</v>
      </c>
      <c r="D185" s="287">
        <v>1815.08887344</v>
      </c>
      <c r="E185" s="287">
        <v>1528.4043685699999</v>
      </c>
      <c r="F185" s="287">
        <v>1911.7289902599996</v>
      </c>
      <c r="G185" s="287">
        <v>0</v>
      </c>
      <c r="H185" s="287">
        <v>268.37489861999995</v>
      </c>
      <c r="I185" s="287">
        <v>107.20552178</v>
      </c>
      <c r="J185" s="303">
        <v>550.08687204</v>
      </c>
    </row>
    <row r="186" spans="1:10" ht="14">
      <c r="A186" s="239"/>
      <c r="B186" s="273" t="s">
        <v>106</v>
      </c>
      <c r="C186" s="290">
        <f t="shared" si="4"/>
        <v>6304.4778984599998</v>
      </c>
      <c r="D186" s="290">
        <v>1849.6796638600001</v>
      </c>
      <c r="E186" s="290">
        <v>1692.0435691299997</v>
      </c>
      <c r="F186" s="290">
        <v>1836.65112791</v>
      </c>
      <c r="G186" s="290">
        <v>0</v>
      </c>
      <c r="H186" s="290">
        <v>272.41997411</v>
      </c>
      <c r="I186" s="290">
        <v>105.28274520000001</v>
      </c>
      <c r="J186" s="304">
        <v>548.40081825000004</v>
      </c>
    </row>
    <row r="187" spans="1:10" ht="14">
      <c r="A187" s="240"/>
      <c r="B187" s="274" t="s">
        <v>107</v>
      </c>
      <c r="C187" s="293">
        <f t="shared" si="4"/>
        <v>6249.0907930700014</v>
      </c>
      <c r="D187" s="293">
        <v>1760.6285649800002</v>
      </c>
      <c r="E187" s="293">
        <v>1628.3823509499998</v>
      </c>
      <c r="F187" s="293">
        <v>1946.5215981200004</v>
      </c>
      <c r="G187" s="293">
        <v>0</v>
      </c>
      <c r="H187" s="293">
        <v>261.17487351</v>
      </c>
      <c r="I187" s="293">
        <v>102.66548450000001</v>
      </c>
      <c r="J187" s="305">
        <v>549.71792101000005</v>
      </c>
    </row>
    <row r="188" spans="1:10" ht="13.5" customHeight="1">
      <c r="A188" s="67"/>
      <c r="B188" s="67"/>
      <c r="C188" s="77"/>
      <c r="D188" s="77"/>
      <c r="E188" s="77"/>
      <c r="F188" s="77"/>
      <c r="G188" s="77"/>
      <c r="H188" s="77"/>
      <c r="I188" s="77"/>
      <c r="J188" s="77"/>
    </row>
    <row r="189" spans="1:10">
      <c r="A189" s="171" t="s">
        <v>167</v>
      </c>
      <c r="B189" s="161"/>
      <c r="C189" s="161"/>
      <c r="D189" s="161"/>
      <c r="F189" s="73"/>
      <c r="H189" s="73"/>
      <c r="I189" s="71"/>
      <c r="J189" s="78"/>
    </row>
    <row r="190" spans="1:10" ht="14">
      <c r="A190" s="161"/>
      <c r="B190" s="161"/>
      <c r="C190" s="166"/>
      <c r="D190" s="166"/>
      <c r="E190" s="73"/>
      <c r="F190" s="73"/>
      <c r="G190" s="71"/>
      <c r="H190" s="73"/>
      <c r="I190" s="300"/>
      <c r="J190" s="78"/>
    </row>
    <row r="191" spans="1:10" ht="14">
      <c r="A191" s="161" t="s">
        <v>119</v>
      </c>
      <c r="B191" s="161"/>
      <c r="C191" s="167"/>
      <c r="D191" s="166"/>
      <c r="E191" s="73"/>
      <c r="F191" s="73"/>
      <c r="G191" s="71"/>
      <c r="H191" s="73"/>
      <c r="I191" s="297"/>
      <c r="J191" s="78"/>
    </row>
    <row r="192" spans="1:10" ht="14">
      <c r="A192" s="161" t="s">
        <v>120</v>
      </c>
      <c r="B192" s="161"/>
      <c r="C192" s="167"/>
      <c r="D192" s="166"/>
      <c r="E192" s="73"/>
      <c r="F192" s="73"/>
      <c r="G192" s="71"/>
      <c r="H192" s="73"/>
      <c r="I192" s="297"/>
      <c r="J192" s="78"/>
    </row>
    <row r="193" spans="1:10" ht="14">
      <c r="A193" s="168" t="s">
        <v>168</v>
      </c>
      <c r="B193" s="169"/>
      <c r="C193" s="167"/>
      <c r="D193" s="166"/>
      <c r="E193" s="73"/>
      <c r="F193" s="73"/>
      <c r="G193" s="71"/>
      <c r="H193" s="73"/>
      <c r="I193" s="297"/>
      <c r="J193" s="78"/>
    </row>
    <row r="194" spans="1:10" ht="14">
      <c r="E194" s="73"/>
      <c r="F194" s="73"/>
      <c r="G194" s="71"/>
      <c r="H194" s="73"/>
      <c r="I194" s="297"/>
      <c r="J194" s="78"/>
    </row>
    <row r="195" spans="1:10" ht="14">
      <c r="E195" s="73"/>
      <c r="F195" s="73"/>
      <c r="G195" s="71"/>
      <c r="H195" s="73"/>
      <c r="I195" s="297"/>
      <c r="J195" s="78"/>
    </row>
    <row r="196" spans="1:10" ht="14">
      <c r="D196" s="73"/>
      <c r="E196" s="73"/>
      <c r="F196" s="73"/>
      <c r="G196" s="71"/>
      <c r="H196" s="73"/>
      <c r="I196" s="297"/>
      <c r="J196" s="78"/>
    </row>
    <row r="197" spans="1:10" ht="14">
      <c r="D197" s="73"/>
      <c r="E197" s="73"/>
      <c r="F197" s="73"/>
      <c r="G197" s="71"/>
      <c r="H197" s="73"/>
      <c r="I197" s="297"/>
      <c r="J197" s="78"/>
    </row>
    <row r="198" spans="1:10" ht="14">
      <c r="D198" s="73"/>
      <c r="E198" s="73"/>
      <c r="F198" s="73"/>
      <c r="G198" s="71"/>
      <c r="H198" s="73"/>
      <c r="I198" s="297"/>
      <c r="J198" s="78"/>
    </row>
    <row r="199" spans="1:10" ht="14">
      <c r="D199" s="73"/>
      <c r="E199" s="73"/>
      <c r="F199" s="73"/>
      <c r="G199" s="71"/>
      <c r="H199" s="73"/>
      <c r="I199" s="297"/>
      <c r="J199" s="78"/>
    </row>
    <row r="200" spans="1:10" ht="14">
      <c r="D200" s="73"/>
      <c r="E200" s="73"/>
      <c r="F200" s="73"/>
      <c r="G200" s="71"/>
      <c r="H200" s="73"/>
      <c r="I200" s="300"/>
    </row>
    <row r="201" spans="1:10" ht="14">
      <c r="D201" s="73"/>
      <c r="E201" s="73"/>
      <c r="F201" s="73"/>
      <c r="G201" s="71"/>
      <c r="H201" s="73"/>
      <c r="I201" s="297"/>
    </row>
    <row r="202" spans="1:10">
      <c r="F202" s="71"/>
      <c r="G202" s="71"/>
      <c r="H202" s="73"/>
    </row>
    <row r="203" spans="1:10">
      <c r="F203" s="71"/>
      <c r="G203" s="71"/>
      <c r="H203" s="73"/>
    </row>
    <row r="204" spans="1:10">
      <c r="G204" s="71"/>
      <c r="H204" s="73"/>
    </row>
  </sheetData>
  <sheetProtection sheet="1" formatCells="0" insertColumns="0" insertRows="0" deleteColumns="0" deleteRows="0"/>
  <mergeCells count="11">
    <mergeCell ref="A1:H1"/>
    <mergeCell ref="J3:J4"/>
    <mergeCell ref="A2:J2"/>
    <mergeCell ref="A3:B4"/>
    <mergeCell ref="G3:G4"/>
    <mergeCell ref="C3:C4"/>
    <mergeCell ref="D3:D4"/>
    <mergeCell ref="E3:E4"/>
    <mergeCell ref="F3:F4"/>
    <mergeCell ref="H3:H4"/>
    <mergeCell ref="I3:I4"/>
  </mergeCells>
  <printOptions horizontalCentered="1"/>
  <pageMargins left="0.7" right="0.7" top="0.75" bottom="0.75" header="0.3" footer="0.3"/>
  <pageSetup paperSize="9" orientation="landscape" r:id="rId1"/>
  <ignoredErrors>
    <ignoredError sqref="C89:C94 C95:C96 C173 C174:C178" formulaRange="1"/>
    <ignoredError sqref="C113:C11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03"/>
  <sheetViews>
    <sheetView zoomScaleNormal="100" workbookViewId="0">
      <pane xSplit="2" ySplit="4" topLeftCell="C175" activePane="bottomRight" state="frozen"/>
      <selection activeCell="L198" sqref="L198"/>
      <selection pane="topRight" activeCell="L198" sqref="L198"/>
      <selection pane="bottomLeft" activeCell="L198" sqref="L198"/>
      <selection pane="bottomRight" activeCell="C187" sqref="C187"/>
    </sheetView>
  </sheetViews>
  <sheetFormatPr defaultColWidth="9.1796875" defaultRowHeight="13"/>
  <cols>
    <col min="1" max="1" width="7.54296875" style="65" customWidth="1"/>
    <col min="2" max="2" width="7.81640625" style="65" customWidth="1"/>
    <col min="3" max="10" width="14.1796875" style="65" customWidth="1"/>
    <col min="11" max="16384" width="9.1796875" style="65"/>
  </cols>
  <sheetData>
    <row r="1" spans="1:10" ht="15.5">
      <c r="A1" s="709" t="s">
        <v>169</v>
      </c>
      <c r="B1" s="709"/>
      <c r="C1" s="709"/>
      <c r="D1" s="709"/>
      <c r="E1" s="709"/>
      <c r="F1" s="709"/>
      <c r="G1" s="709"/>
      <c r="H1" s="709"/>
    </row>
    <row r="2" spans="1:10" ht="14">
      <c r="A2" s="760" t="s">
        <v>97</v>
      </c>
      <c r="B2" s="760"/>
      <c r="C2" s="760"/>
      <c r="D2" s="760"/>
      <c r="E2" s="760"/>
      <c r="F2" s="760"/>
      <c r="G2" s="760"/>
      <c r="H2" s="760"/>
      <c r="I2" s="760"/>
      <c r="J2" s="760"/>
    </row>
    <row r="3" spans="1:10" s="68" customFormat="1" ht="22.5" customHeight="1">
      <c r="A3" s="761" t="s">
        <v>98</v>
      </c>
      <c r="B3" s="761"/>
      <c r="C3" s="725" t="s">
        <v>170</v>
      </c>
      <c r="D3" s="759" t="s">
        <v>171</v>
      </c>
      <c r="E3" s="759" t="s">
        <v>3</v>
      </c>
      <c r="F3" s="759" t="s">
        <v>50</v>
      </c>
      <c r="G3" s="759" t="s">
        <v>88</v>
      </c>
      <c r="H3" s="759" t="s">
        <v>135</v>
      </c>
      <c r="I3" s="759" t="s">
        <v>172</v>
      </c>
      <c r="J3" s="759" t="s">
        <v>173</v>
      </c>
    </row>
    <row r="4" spans="1:10" s="68" customFormat="1" ht="25.5" customHeight="1">
      <c r="A4" s="761"/>
      <c r="B4" s="761"/>
      <c r="C4" s="725"/>
      <c r="D4" s="759"/>
      <c r="E4" s="759"/>
      <c r="F4" s="759"/>
      <c r="G4" s="759"/>
      <c r="H4" s="759"/>
      <c r="I4" s="759"/>
      <c r="J4" s="759"/>
    </row>
    <row r="5" spans="1:10" ht="14">
      <c r="A5" s="238">
        <v>2011</v>
      </c>
      <c r="B5" s="247" t="s">
        <v>105</v>
      </c>
      <c r="C5" s="308">
        <f>SUM(D5:J5)</f>
        <v>3764.94</v>
      </c>
      <c r="D5" s="287">
        <v>1000</v>
      </c>
      <c r="E5" s="287">
        <v>1002.21</v>
      </c>
      <c r="F5" s="287">
        <v>1182.6400000000001</v>
      </c>
      <c r="G5" s="287">
        <v>0</v>
      </c>
      <c r="H5" s="287">
        <v>0</v>
      </c>
      <c r="I5" s="309">
        <v>408.93</v>
      </c>
      <c r="J5" s="310">
        <v>171.16</v>
      </c>
    </row>
    <row r="6" spans="1:10" ht="14">
      <c r="A6" s="239"/>
      <c r="B6" s="251" t="s">
        <v>106</v>
      </c>
      <c r="C6" s="296">
        <f t="shared" ref="C6:C69" si="0">SUM(D6:J6)</f>
        <v>3770.62</v>
      </c>
      <c r="D6" s="290">
        <v>1000</v>
      </c>
      <c r="E6" s="290">
        <v>979.24</v>
      </c>
      <c r="F6" s="290">
        <v>1211.07</v>
      </c>
      <c r="G6" s="290">
        <v>0</v>
      </c>
      <c r="H6" s="290">
        <v>0</v>
      </c>
      <c r="I6" s="311">
        <v>407.77</v>
      </c>
      <c r="J6" s="312">
        <v>172.54</v>
      </c>
    </row>
    <row r="7" spans="1:10" ht="14">
      <c r="A7" s="239"/>
      <c r="B7" s="251" t="s">
        <v>107</v>
      </c>
      <c r="C7" s="296">
        <f t="shared" si="0"/>
        <v>3770.29</v>
      </c>
      <c r="D7" s="290">
        <v>1000</v>
      </c>
      <c r="E7" s="290">
        <v>949.85</v>
      </c>
      <c r="F7" s="290">
        <v>1238.1199999999999</v>
      </c>
      <c r="G7" s="290">
        <v>0</v>
      </c>
      <c r="H7" s="290">
        <v>0</v>
      </c>
      <c r="I7" s="311">
        <v>406.21</v>
      </c>
      <c r="J7" s="312">
        <v>176.11</v>
      </c>
    </row>
    <row r="8" spans="1:10" ht="14">
      <c r="A8" s="239"/>
      <c r="B8" s="251" t="s">
        <v>108</v>
      </c>
      <c r="C8" s="296">
        <f t="shared" si="0"/>
        <v>3779.16</v>
      </c>
      <c r="D8" s="290">
        <v>1000</v>
      </c>
      <c r="E8" s="290">
        <v>972.85</v>
      </c>
      <c r="F8" s="290">
        <v>1221.54</v>
      </c>
      <c r="G8" s="290">
        <v>0</v>
      </c>
      <c r="H8" s="290">
        <v>0</v>
      </c>
      <c r="I8" s="311">
        <v>404.98</v>
      </c>
      <c r="J8" s="312">
        <v>179.79</v>
      </c>
    </row>
    <row r="9" spans="1:10" ht="14">
      <c r="A9" s="239"/>
      <c r="B9" s="251" t="s">
        <v>109</v>
      </c>
      <c r="C9" s="296">
        <f t="shared" si="0"/>
        <v>3859.51</v>
      </c>
      <c r="D9" s="290">
        <v>1000</v>
      </c>
      <c r="E9" s="290">
        <v>971.09</v>
      </c>
      <c r="F9" s="290">
        <v>1306.3800000000001</v>
      </c>
      <c r="G9" s="290">
        <v>0</v>
      </c>
      <c r="H9" s="290">
        <v>0</v>
      </c>
      <c r="I9" s="311">
        <v>401.6</v>
      </c>
      <c r="J9" s="312">
        <v>180.44</v>
      </c>
    </row>
    <row r="10" spans="1:10" ht="14">
      <c r="A10" s="239"/>
      <c r="B10" s="251" t="s">
        <v>110</v>
      </c>
      <c r="C10" s="296">
        <f t="shared" si="0"/>
        <v>3832.69</v>
      </c>
      <c r="D10" s="290">
        <v>1000</v>
      </c>
      <c r="E10" s="290">
        <v>942.14</v>
      </c>
      <c r="F10" s="290">
        <v>1307.28</v>
      </c>
      <c r="G10" s="290">
        <v>0</v>
      </c>
      <c r="H10" s="290">
        <v>0</v>
      </c>
      <c r="I10" s="311">
        <v>400.35</v>
      </c>
      <c r="J10" s="312">
        <v>182.92</v>
      </c>
    </row>
    <row r="11" spans="1:10" ht="14">
      <c r="A11" s="239"/>
      <c r="B11" s="251" t="s">
        <v>111</v>
      </c>
      <c r="C11" s="296">
        <f t="shared" si="0"/>
        <v>3824.54</v>
      </c>
      <c r="D11" s="290">
        <v>1000</v>
      </c>
      <c r="E11" s="290">
        <v>953.03</v>
      </c>
      <c r="F11" s="290">
        <v>1289.45</v>
      </c>
      <c r="G11" s="290">
        <v>0</v>
      </c>
      <c r="H11" s="290">
        <v>0</v>
      </c>
      <c r="I11" s="311">
        <v>391.82</v>
      </c>
      <c r="J11" s="312">
        <v>190.24</v>
      </c>
    </row>
    <row r="12" spans="1:10" ht="14">
      <c r="A12" s="239"/>
      <c r="B12" s="251" t="s">
        <v>112</v>
      </c>
      <c r="C12" s="296">
        <f t="shared" si="0"/>
        <v>4034.25</v>
      </c>
      <c r="D12" s="290">
        <v>1000</v>
      </c>
      <c r="E12" s="290">
        <v>970.83</v>
      </c>
      <c r="F12" s="290">
        <v>1473.42</v>
      </c>
      <c r="G12" s="290">
        <v>0</v>
      </c>
      <c r="H12" s="290">
        <v>0</v>
      </c>
      <c r="I12" s="311">
        <v>394.52</v>
      </c>
      <c r="J12" s="312">
        <v>195.48</v>
      </c>
    </row>
    <row r="13" spans="1:10" ht="14">
      <c r="A13" s="239"/>
      <c r="B13" s="251" t="s">
        <v>113</v>
      </c>
      <c r="C13" s="296">
        <f t="shared" si="0"/>
        <v>4051.87</v>
      </c>
      <c r="D13" s="290">
        <v>1000</v>
      </c>
      <c r="E13" s="290">
        <v>915.2</v>
      </c>
      <c r="F13" s="290">
        <v>1534.04</v>
      </c>
      <c r="G13" s="290">
        <v>0</v>
      </c>
      <c r="H13" s="290">
        <v>0</v>
      </c>
      <c r="I13" s="311">
        <v>413.23</v>
      </c>
      <c r="J13" s="312">
        <v>189.4</v>
      </c>
    </row>
    <row r="14" spans="1:10" ht="14">
      <c r="A14" s="239"/>
      <c r="B14" s="251" t="s">
        <v>114</v>
      </c>
      <c r="C14" s="296">
        <f t="shared" si="0"/>
        <v>4062.11</v>
      </c>
      <c r="D14" s="290">
        <v>1000</v>
      </c>
      <c r="E14" s="290">
        <v>1002.47</v>
      </c>
      <c r="F14" s="290">
        <v>1461.05</v>
      </c>
      <c r="G14" s="290">
        <v>0</v>
      </c>
      <c r="H14" s="290">
        <v>0</v>
      </c>
      <c r="I14" s="311">
        <v>403.49</v>
      </c>
      <c r="J14" s="312">
        <v>195.1</v>
      </c>
    </row>
    <row r="15" spans="1:10" ht="14">
      <c r="A15" s="239"/>
      <c r="B15" s="251" t="s">
        <v>115</v>
      </c>
      <c r="C15" s="296">
        <f t="shared" si="0"/>
        <v>4152.01</v>
      </c>
      <c r="D15" s="290">
        <v>1000</v>
      </c>
      <c r="E15" s="290">
        <v>1003.65</v>
      </c>
      <c r="F15" s="290">
        <v>1537.24</v>
      </c>
      <c r="G15" s="290">
        <v>0</v>
      </c>
      <c r="H15" s="290">
        <v>0</v>
      </c>
      <c r="I15" s="311">
        <v>409.08</v>
      </c>
      <c r="J15" s="312">
        <v>202.04</v>
      </c>
    </row>
    <row r="16" spans="1:10" ht="14">
      <c r="A16" s="240"/>
      <c r="B16" s="252" t="s">
        <v>116</v>
      </c>
      <c r="C16" s="298">
        <f t="shared" si="0"/>
        <v>4730.57</v>
      </c>
      <c r="D16" s="293">
        <v>1000</v>
      </c>
      <c r="E16" s="293">
        <v>1689.99</v>
      </c>
      <c r="F16" s="293">
        <v>1452</v>
      </c>
      <c r="G16" s="293">
        <v>0</v>
      </c>
      <c r="H16" s="293">
        <v>0</v>
      </c>
      <c r="I16" s="313">
        <v>406.38</v>
      </c>
      <c r="J16" s="314">
        <v>182.2</v>
      </c>
    </row>
    <row r="17" spans="1:10" ht="14">
      <c r="A17" s="239">
        <v>2012</v>
      </c>
      <c r="B17" s="251" t="s">
        <v>105</v>
      </c>
      <c r="C17" s="296">
        <f t="shared" si="0"/>
        <v>4018.99</v>
      </c>
      <c r="D17" s="290">
        <v>1000</v>
      </c>
      <c r="E17" s="290">
        <v>997.84</v>
      </c>
      <c r="F17" s="290">
        <v>1438.86</v>
      </c>
      <c r="G17" s="290">
        <v>0</v>
      </c>
      <c r="H17" s="290">
        <v>0</v>
      </c>
      <c r="I17" s="311">
        <v>396.05</v>
      </c>
      <c r="J17" s="312">
        <v>186.24</v>
      </c>
    </row>
    <row r="18" spans="1:10" ht="14">
      <c r="A18" s="239"/>
      <c r="B18" s="251" t="s">
        <v>106</v>
      </c>
      <c r="C18" s="296">
        <f t="shared" si="0"/>
        <v>4152.45</v>
      </c>
      <c r="D18" s="290">
        <v>1000</v>
      </c>
      <c r="E18" s="290">
        <v>1125.7</v>
      </c>
      <c r="F18" s="290">
        <v>1441.36</v>
      </c>
      <c r="G18" s="290">
        <v>0</v>
      </c>
      <c r="H18" s="290">
        <v>0</v>
      </c>
      <c r="I18" s="311">
        <v>395</v>
      </c>
      <c r="J18" s="312">
        <v>190.39</v>
      </c>
    </row>
    <row r="19" spans="1:10" ht="14">
      <c r="A19" s="239"/>
      <c r="B19" s="251" t="s">
        <v>107</v>
      </c>
      <c r="C19" s="296">
        <f t="shared" si="0"/>
        <v>4371.0599999999995</v>
      </c>
      <c r="D19" s="290">
        <v>1000</v>
      </c>
      <c r="E19" s="290">
        <v>1238.8499999999999</v>
      </c>
      <c r="F19" s="290">
        <v>1546.59</v>
      </c>
      <c r="G19" s="290">
        <v>0</v>
      </c>
      <c r="H19" s="290">
        <v>0</v>
      </c>
      <c r="I19" s="311">
        <v>396.33</v>
      </c>
      <c r="J19" s="312">
        <v>189.29</v>
      </c>
    </row>
    <row r="20" spans="1:10" ht="14">
      <c r="A20" s="239"/>
      <c r="B20" s="251" t="s">
        <v>108</v>
      </c>
      <c r="C20" s="296">
        <f t="shared" si="0"/>
        <v>5357.46</v>
      </c>
      <c r="D20" s="290">
        <v>1000</v>
      </c>
      <c r="E20" s="290">
        <v>2346.59</v>
      </c>
      <c r="F20" s="290">
        <v>1431</v>
      </c>
      <c r="G20" s="290">
        <v>0</v>
      </c>
      <c r="H20" s="290">
        <v>0</v>
      </c>
      <c r="I20" s="311">
        <v>390.39</v>
      </c>
      <c r="J20" s="312">
        <v>189.48</v>
      </c>
    </row>
    <row r="21" spans="1:10" ht="14">
      <c r="A21" s="239"/>
      <c r="B21" s="251" t="s">
        <v>109</v>
      </c>
      <c r="C21" s="296">
        <f t="shared" si="0"/>
        <v>5102.22</v>
      </c>
      <c r="D21" s="290">
        <v>1000</v>
      </c>
      <c r="E21" s="290">
        <v>2062.0100000000002</v>
      </c>
      <c r="F21" s="290">
        <v>1452.01</v>
      </c>
      <c r="G21" s="290">
        <v>0</v>
      </c>
      <c r="H21" s="290">
        <v>0</v>
      </c>
      <c r="I21" s="311">
        <v>395.92</v>
      </c>
      <c r="J21" s="312">
        <v>192.28</v>
      </c>
    </row>
    <row r="22" spans="1:10" ht="14">
      <c r="A22" s="239"/>
      <c r="B22" s="251" t="s">
        <v>110</v>
      </c>
      <c r="C22" s="296">
        <f t="shared" si="0"/>
        <v>5137.79</v>
      </c>
      <c r="D22" s="290">
        <v>1000</v>
      </c>
      <c r="E22" s="290">
        <v>2125.17</v>
      </c>
      <c r="F22" s="290">
        <v>1427.48</v>
      </c>
      <c r="G22" s="290">
        <v>0</v>
      </c>
      <c r="H22" s="290">
        <v>0</v>
      </c>
      <c r="I22" s="311">
        <v>393.35</v>
      </c>
      <c r="J22" s="312">
        <v>191.79</v>
      </c>
    </row>
    <row r="23" spans="1:10" ht="14">
      <c r="A23" s="239"/>
      <c r="B23" s="251" t="s">
        <v>111</v>
      </c>
      <c r="C23" s="296">
        <f t="shared" si="0"/>
        <v>5050.82</v>
      </c>
      <c r="D23" s="290">
        <v>1000</v>
      </c>
      <c r="E23" s="290">
        <v>2109.14</v>
      </c>
      <c r="F23" s="290">
        <v>1363.09</v>
      </c>
      <c r="G23" s="290">
        <v>0</v>
      </c>
      <c r="H23" s="290">
        <v>0</v>
      </c>
      <c r="I23" s="311">
        <v>382.28</v>
      </c>
      <c r="J23" s="312">
        <v>196.31</v>
      </c>
    </row>
    <row r="24" spans="1:10" ht="14">
      <c r="A24" s="239"/>
      <c r="B24" s="251" t="s">
        <v>112</v>
      </c>
      <c r="C24" s="296">
        <f t="shared" si="0"/>
        <v>4855.7000000000007</v>
      </c>
      <c r="D24" s="290">
        <v>1000</v>
      </c>
      <c r="E24" s="290">
        <v>1848.68</v>
      </c>
      <c r="F24" s="290">
        <v>1418.54</v>
      </c>
      <c r="G24" s="290">
        <v>0</v>
      </c>
      <c r="H24" s="290">
        <v>0</v>
      </c>
      <c r="I24" s="311">
        <v>387.88</v>
      </c>
      <c r="J24" s="312">
        <v>200.6</v>
      </c>
    </row>
    <row r="25" spans="1:10" ht="14">
      <c r="A25" s="239"/>
      <c r="B25" s="251" t="s">
        <v>113</v>
      </c>
      <c r="C25" s="296">
        <f t="shared" si="0"/>
        <v>4630.0599999999995</v>
      </c>
      <c r="D25" s="290">
        <v>1000</v>
      </c>
      <c r="E25" s="290">
        <v>1623.72</v>
      </c>
      <c r="F25" s="290">
        <v>1421.61</v>
      </c>
      <c r="G25" s="290">
        <v>0</v>
      </c>
      <c r="H25" s="290">
        <v>0</v>
      </c>
      <c r="I25" s="311">
        <v>384.58</v>
      </c>
      <c r="J25" s="312">
        <v>200.15</v>
      </c>
    </row>
    <row r="26" spans="1:10" ht="14">
      <c r="A26" s="239"/>
      <c r="B26" s="251" t="s">
        <v>114</v>
      </c>
      <c r="C26" s="296">
        <f t="shared" si="0"/>
        <v>5195.2800000000007</v>
      </c>
      <c r="D26" s="290">
        <v>1000</v>
      </c>
      <c r="E26" s="290">
        <v>1610.39</v>
      </c>
      <c r="F26" s="290">
        <v>1999.36</v>
      </c>
      <c r="G26" s="290">
        <v>0</v>
      </c>
      <c r="H26" s="290">
        <v>0</v>
      </c>
      <c r="I26" s="311">
        <v>382.64</v>
      </c>
      <c r="J26" s="312">
        <v>202.89</v>
      </c>
    </row>
    <row r="27" spans="1:10" ht="14">
      <c r="A27" s="239"/>
      <c r="B27" s="251" t="s">
        <v>115</v>
      </c>
      <c r="C27" s="296">
        <f t="shared" si="0"/>
        <v>4705.5</v>
      </c>
      <c r="D27" s="290">
        <v>1000</v>
      </c>
      <c r="E27" s="290">
        <v>1499.2</v>
      </c>
      <c r="F27" s="290">
        <v>1619.74</v>
      </c>
      <c r="G27" s="290">
        <v>0</v>
      </c>
      <c r="H27" s="290">
        <v>0</v>
      </c>
      <c r="I27" s="311">
        <v>381.34</v>
      </c>
      <c r="J27" s="312">
        <v>205.22</v>
      </c>
    </row>
    <row r="28" spans="1:10" ht="14">
      <c r="A28" s="240"/>
      <c r="B28" s="252" t="s">
        <v>116</v>
      </c>
      <c r="C28" s="298">
        <f t="shared" si="0"/>
        <v>4931.1499999999996</v>
      </c>
      <c r="D28" s="293">
        <v>1000</v>
      </c>
      <c r="E28" s="293">
        <v>1627.05</v>
      </c>
      <c r="F28" s="293">
        <v>1709.69</v>
      </c>
      <c r="G28" s="293">
        <v>0</v>
      </c>
      <c r="H28" s="293">
        <v>0</v>
      </c>
      <c r="I28" s="313">
        <v>382.67</v>
      </c>
      <c r="J28" s="314">
        <v>211.74</v>
      </c>
    </row>
    <row r="29" spans="1:10" ht="14">
      <c r="A29" s="239">
        <v>2013</v>
      </c>
      <c r="B29" s="251" t="s">
        <v>105</v>
      </c>
      <c r="C29" s="296">
        <f t="shared" si="0"/>
        <v>5395.75</v>
      </c>
      <c r="D29" s="290">
        <v>1000</v>
      </c>
      <c r="E29" s="290">
        <v>1621.21</v>
      </c>
      <c r="F29" s="290">
        <v>2177.35</v>
      </c>
      <c r="G29" s="290">
        <v>0</v>
      </c>
      <c r="H29" s="290">
        <v>0</v>
      </c>
      <c r="I29" s="311">
        <v>388.6</v>
      </c>
      <c r="J29" s="312">
        <v>208.59</v>
      </c>
    </row>
    <row r="30" spans="1:10" ht="14">
      <c r="A30" s="239"/>
      <c r="B30" s="251" t="s">
        <v>106</v>
      </c>
      <c r="C30" s="296">
        <f t="shared" si="0"/>
        <v>5065.8099999999995</v>
      </c>
      <c r="D30" s="290">
        <v>1000</v>
      </c>
      <c r="E30" s="290">
        <v>1127.83</v>
      </c>
      <c r="F30" s="290">
        <v>2348.6999999999998</v>
      </c>
      <c r="G30" s="290">
        <v>0</v>
      </c>
      <c r="H30" s="290">
        <v>0</v>
      </c>
      <c r="I30" s="311">
        <v>381.12</v>
      </c>
      <c r="J30" s="312">
        <v>208.16</v>
      </c>
    </row>
    <row r="31" spans="1:10" ht="14">
      <c r="A31" s="239"/>
      <c r="B31" s="251" t="s">
        <v>107</v>
      </c>
      <c r="C31" s="296">
        <f t="shared" si="0"/>
        <v>5291.37</v>
      </c>
      <c r="D31" s="290">
        <v>1000</v>
      </c>
      <c r="E31" s="290">
        <v>1129.06</v>
      </c>
      <c r="F31" s="290">
        <v>2574.0300000000002</v>
      </c>
      <c r="G31" s="290">
        <v>0</v>
      </c>
      <c r="H31" s="290">
        <v>0</v>
      </c>
      <c r="I31" s="311">
        <v>379.11</v>
      </c>
      <c r="J31" s="312">
        <v>209.17</v>
      </c>
    </row>
    <row r="32" spans="1:10" ht="14">
      <c r="A32" s="239"/>
      <c r="B32" s="251" t="s">
        <v>108</v>
      </c>
      <c r="C32" s="296">
        <f t="shared" si="0"/>
        <v>5245.8300000000008</v>
      </c>
      <c r="D32" s="290">
        <v>1000</v>
      </c>
      <c r="E32" s="290">
        <v>1129.77</v>
      </c>
      <c r="F32" s="290">
        <v>2518.25</v>
      </c>
      <c r="G32" s="290">
        <v>0</v>
      </c>
      <c r="H32" s="290">
        <v>0</v>
      </c>
      <c r="I32" s="311">
        <v>379.01</v>
      </c>
      <c r="J32" s="312">
        <v>218.8</v>
      </c>
    </row>
    <row r="33" spans="1:10" ht="14">
      <c r="A33" s="239"/>
      <c r="B33" s="251" t="s">
        <v>109</v>
      </c>
      <c r="C33" s="296">
        <f t="shared" si="0"/>
        <v>4983.7699999999995</v>
      </c>
      <c r="D33" s="290">
        <v>1000</v>
      </c>
      <c r="E33" s="290">
        <v>1146.26</v>
      </c>
      <c r="F33" s="290">
        <v>2249.2199999999998</v>
      </c>
      <c r="G33" s="290">
        <v>0</v>
      </c>
      <c r="H33" s="290">
        <v>0</v>
      </c>
      <c r="I33" s="311">
        <v>384.7</v>
      </c>
      <c r="J33" s="312">
        <v>203.59</v>
      </c>
    </row>
    <row r="34" spans="1:10" ht="14">
      <c r="A34" s="239"/>
      <c r="B34" s="251" t="s">
        <v>110</v>
      </c>
      <c r="C34" s="296">
        <f t="shared" si="0"/>
        <v>5015.0200000000004</v>
      </c>
      <c r="D34" s="290">
        <v>1000</v>
      </c>
      <c r="E34" s="290">
        <v>1140.3900000000001</v>
      </c>
      <c r="F34" s="290">
        <v>2299.08</v>
      </c>
      <c r="G34" s="290">
        <v>0</v>
      </c>
      <c r="H34" s="290">
        <v>0</v>
      </c>
      <c r="I34" s="311">
        <v>387.23</v>
      </c>
      <c r="J34" s="312">
        <v>188.32</v>
      </c>
    </row>
    <row r="35" spans="1:10" ht="14">
      <c r="A35" s="239"/>
      <c r="B35" s="251" t="s">
        <v>117</v>
      </c>
      <c r="C35" s="296">
        <f t="shared" si="0"/>
        <v>4937.7899999999991</v>
      </c>
      <c r="D35" s="290">
        <v>1000</v>
      </c>
      <c r="E35" s="290">
        <v>1161.6199999999999</v>
      </c>
      <c r="F35" s="290">
        <v>2195.4899999999998</v>
      </c>
      <c r="G35" s="290">
        <v>0</v>
      </c>
      <c r="H35" s="290">
        <v>0</v>
      </c>
      <c r="I35" s="311">
        <v>392.27</v>
      </c>
      <c r="J35" s="312">
        <v>188.41</v>
      </c>
    </row>
    <row r="36" spans="1:10" ht="14">
      <c r="A36" s="239"/>
      <c r="B36" s="251" t="s">
        <v>112</v>
      </c>
      <c r="C36" s="296">
        <f t="shared" si="0"/>
        <v>4925.7199999999993</v>
      </c>
      <c r="D36" s="290">
        <v>1000</v>
      </c>
      <c r="E36" s="290">
        <v>1093.46</v>
      </c>
      <c r="F36" s="290">
        <v>2254.94</v>
      </c>
      <c r="G36" s="290">
        <v>0</v>
      </c>
      <c r="H36" s="290">
        <v>0</v>
      </c>
      <c r="I36" s="311">
        <v>393.38</v>
      </c>
      <c r="J36" s="312">
        <v>183.94</v>
      </c>
    </row>
    <row r="37" spans="1:10" ht="14">
      <c r="A37" s="239"/>
      <c r="B37" s="251" t="s">
        <v>113</v>
      </c>
      <c r="C37" s="296">
        <f t="shared" si="0"/>
        <v>5001.46</v>
      </c>
      <c r="D37" s="290">
        <v>1000</v>
      </c>
      <c r="E37" s="290">
        <v>1095.92</v>
      </c>
      <c r="F37" s="290">
        <v>2316.4899999999998</v>
      </c>
      <c r="G37" s="290">
        <v>0</v>
      </c>
      <c r="H37" s="290">
        <v>0</v>
      </c>
      <c r="I37" s="311">
        <v>392.49</v>
      </c>
      <c r="J37" s="312">
        <v>196.56</v>
      </c>
    </row>
    <row r="38" spans="1:10" ht="14">
      <c r="A38" s="239"/>
      <c r="B38" s="251" t="s">
        <v>114</v>
      </c>
      <c r="C38" s="296">
        <f t="shared" si="0"/>
        <v>5247.16</v>
      </c>
      <c r="D38" s="290">
        <v>1000</v>
      </c>
      <c r="E38" s="290">
        <v>1090.96</v>
      </c>
      <c r="F38" s="290">
        <v>2584.3200000000002</v>
      </c>
      <c r="G38" s="290">
        <v>0</v>
      </c>
      <c r="H38" s="290">
        <v>0</v>
      </c>
      <c r="I38" s="311">
        <v>389.44</v>
      </c>
      <c r="J38" s="312">
        <v>182.44</v>
      </c>
    </row>
    <row r="39" spans="1:10" ht="14">
      <c r="A39" s="239"/>
      <c r="B39" s="251" t="s">
        <v>115</v>
      </c>
      <c r="C39" s="296">
        <f t="shared" si="0"/>
        <v>4942.3899999999994</v>
      </c>
      <c r="D39" s="290">
        <v>1000</v>
      </c>
      <c r="E39" s="290">
        <v>1106.08</v>
      </c>
      <c r="F39" s="290">
        <v>2267.88</v>
      </c>
      <c r="G39" s="290">
        <v>0</v>
      </c>
      <c r="H39" s="290">
        <v>0</v>
      </c>
      <c r="I39" s="311">
        <v>391.27</v>
      </c>
      <c r="J39" s="312">
        <v>177.16</v>
      </c>
    </row>
    <row r="40" spans="1:10" ht="14">
      <c r="A40" s="240"/>
      <c r="B40" s="252" t="s">
        <v>116</v>
      </c>
      <c r="C40" s="298">
        <f t="shared" si="0"/>
        <v>4947.4000000000005</v>
      </c>
      <c r="D40" s="293">
        <v>1000</v>
      </c>
      <c r="E40" s="293">
        <v>1219.73</v>
      </c>
      <c r="F40" s="293">
        <v>2218.11</v>
      </c>
      <c r="G40" s="293">
        <v>0</v>
      </c>
      <c r="H40" s="293">
        <v>0</v>
      </c>
      <c r="I40" s="313">
        <v>397.79</v>
      </c>
      <c r="J40" s="314">
        <v>111.77</v>
      </c>
    </row>
    <row r="41" spans="1:10" ht="14">
      <c r="A41" s="239">
        <v>2014</v>
      </c>
      <c r="B41" s="251" t="s">
        <v>105</v>
      </c>
      <c r="C41" s="296">
        <f t="shared" si="0"/>
        <v>5101.91</v>
      </c>
      <c r="D41" s="290">
        <v>1000</v>
      </c>
      <c r="E41" s="290">
        <v>1183.1199999999999</v>
      </c>
      <c r="F41" s="290">
        <v>2406.27</v>
      </c>
      <c r="G41" s="290">
        <v>0</v>
      </c>
      <c r="H41" s="290">
        <v>0</v>
      </c>
      <c r="I41" s="311">
        <v>398.89</v>
      </c>
      <c r="J41" s="312">
        <v>113.63</v>
      </c>
    </row>
    <row r="42" spans="1:10" ht="14">
      <c r="A42" s="239"/>
      <c r="B42" s="251" t="s">
        <v>106</v>
      </c>
      <c r="C42" s="296">
        <f t="shared" si="0"/>
        <v>4877.9699999999993</v>
      </c>
      <c r="D42" s="290">
        <v>1000</v>
      </c>
      <c r="E42" s="290">
        <v>1169.69</v>
      </c>
      <c r="F42" s="290">
        <v>2190.29</v>
      </c>
      <c r="G42" s="290">
        <v>0</v>
      </c>
      <c r="H42" s="290">
        <v>0</v>
      </c>
      <c r="I42" s="311">
        <v>399.04</v>
      </c>
      <c r="J42" s="312">
        <v>118.95</v>
      </c>
    </row>
    <row r="43" spans="1:10" ht="14">
      <c r="A43" s="239"/>
      <c r="B43" s="251" t="s">
        <v>107</v>
      </c>
      <c r="C43" s="296">
        <f t="shared" si="0"/>
        <v>4633.2999999999993</v>
      </c>
      <c r="D43" s="290">
        <v>1000</v>
      </c>
      <c r="E43" s="290">
        <v>1165.98</v>
      </c>
      <c r="F43" s="290">
        <v>1954.85</v>
      </c>
      <c r="G43" s="290">
        <v>0</v>
      </c>
      <c r="H43" s="290">
        <v>0</v>
      </c>
      <c r="I43" s="311">
        <v>396.48</v>
      </c>
      <c r="J43" s="312">
        <v>115.99</v>
      </c>
    </row>
    <row r="44" spans="1:10" ht="14">
      <c r="A44" s="239"/>
      <c r="B44" s="251" t="s">
        <v>108</v>
      </c>
      <c r="C44" s="296">
        <f t="shared" si="0"/>
        <v>4783.0100000000011</v>
      </c>
      <c r="D44" s="290">
        <v>1000</v>
      </c>
      <c r="E44" s="290">
        <v>1145.43</v>
      </c>
      <c r="F44" s="290">
        <v>2122.0500000000002</v>
      </c>
      <c r="G44" s="290">
        <v>0</v>
      </c>
      <c r="H44" s="290">
        <v>0</v>
      </c>
      <c r="I44" s="311">
        <v>396.26</v>
      </c>
      <c r="J44" s="312">
        <v>119.27</v>
      </c>
    </row>
    <row r="45" spans="1:10" ht="14">
      <c r="A45" s="239"/>
      <c r="B45" s="251" t="s">
        <v>109</v>
      </c>
      <c r="C45" s="296">
        <f t="shared" si="0"/>
        <v>4610.9399999999996</v>
      </c>
      <c r="D45" s="290">
        <v>1000</v>
      </c>
      <c r="E45" s="290">
        <v>1156.6099999999999</v>
      </c>
      <c r="F45" s="290">
        <v>1932.97</v>
      </c>
      <c r="G45" s="290">
        <v>0</v>
      </c>
      <c r="H45" s="290">
        <v>0</v>
      </c>
      <c r="I45" s="311">
        <v>393.37</v>
      </c>
      <c r="J45" s="312">
        <v>127.99</v>
      </c>
    </row>
    <row r="46" spans="1:10" ht="14">
      <c r="A46" s="239"/>
      <c r="B46" s="251" t="s">
        <v>110</v>
      </c>
      <c r="C46" s="296">
        <f t="shared" si="0"/>
        <v>4738.9800000000005</v>
      </c>
      <c r="D46" s="290">
        <v>1000</v>
      </c>
      <c r="E46" s="290">
        <v>1202.1199999999999</v>
      </c>
      <c r="F46" s="290">
        <v>2015.54</v>
      </c>
      <c r="G46" s="290">
        <v>0</v>
      </c>
      <c r="H46" s="290">
        <v>0</v>
      </c>
      <c r="I46" s="311">
        <v>392.93</v>
      </c>
      <c r="J46" s="312">
        <v>128.38999999999999</v>
      </c>
    </row>
    <row r="47" spans="1:10" ht="14">
      <c r="A47" s="239"/>
      <c r="B47" s="251" t="s">
        <v>117</v>
      </c>
      <c r="C47" s="296">
        <f t="shared" si="0"/>
        <v>4837.88</v>
      </c>
      <c r="D47" s="290">
        <v>1000</v>
      </c>
      <c r="E47" s="290">
        <v>1245.45</v>
      </c>
      <c r="F47" s="290">
        <v>2075.64</v>
      </c>
      <c r="G47" s="290">
        <v>0</v>
      </c>
      <c r="H47" s="290">
        <v>0</v>
      </c>
      <c r="I47" s="311">
        <v>388.03</v>
      </c>
      <c r="J47" s="312">
        <v>128.76</v>
      </c>
    </row>
    <row r="48" spans="1:10" ht="14">
      <c r="A48" s="239"/>
      <c r="B48" s="251" t="s">
        <v>112</v>
      </c>
      <c r="C48" s="315">
        <f t="shared" si="0"/>
        <v>4966.75</v>
      </c>
      <c r="D48" s="301">
        <v>1000</v>
      </c>
      <c r="E48" s="301">
        <v>1165.5</v>
      </c>
      <c r="F48" s="301">
        <v>2278.1</v>
      </c>
      <c r="G48" s="301">
        <v>0</v>
      </c>
      <c r="H48" s="301">
        <v>0</v>
      </c>
      <c r="I48" s="316">
        <v>386</v>
      </c>
      <c r="J48" s="317">
        <v>137.15</v>
      </c>
    </row>
    <row r="49" spans="1:10" ht="14">
      <c r="A49" s="239"/>
      <c r="B49" s="251" t="s">
        <v>113</v>
      </c>
      <c r="C49" s="315">
        <f t="shared" si="0"/>
        <v>5048.6499999999996</v>
      </c>
      <c r="D49" s="301">
        <v>1000</v>
      </c>
      <c r="E49" s="301">
        <v>1186.72</v>
      </c>
      <c r="F49" s="301">
        <v>2348.1999999999998</v>
      </c>
      <c r="G49" s="301">
        <v>0</v>
      </c>
      <c r="H49" s="300">
        <v>0</v>
      </c>
      <c r="I49" s="316">
        <v>386</v>
      </c>
      <c r="J49" s="317">
        <v>127.73</v>
      </c>
    </row>
    <row r="50" spans="1:10" ht="14">
      <c r="A50" s="239"/>
      <c r="B50" s="251" t="s">
        <v>114</v>
      </c>
      <c r="C50" s="296">
        <f t="shared" si="0"/>
        <v>4699.03</v>
      </c>
      <c r="D50" s="290">
        <v>1000</v>
      </c>
      <c r="E50" s="290">
        <v>1155.6500000000001</v>
      </c>
      <c r="F50" s="290">
        <v>2027.89</v>
      </c>
      <c r="G50" s="290">
        <v>0</v>
      </c>
      <c r="H50" s="297">
        <v>0</v>
      </c>
      <c r="I50" s="311">
        <v>384.45</v>
      </c>
      <c r="J50" s="312">
        <v>131.04</v>
      </c>
    </row>
    <row r="51" spans="1:10" ht="14">
      <c r="A51" s="239"/>
      <c r="B51" s="251" t="s">
        <v>115</v>
      </c>
      <c r="C51" s="296">
        <f t="shared" si="0"/>
        <v>4704.4400000000005</v>
      </c>
      <c r="D51" s="290">
        <v>1000</v>
      </c>
      <c r="E51" s="290">
        <v>1148.3900000000001</v>
      </c>
      <c r="F51" s="290">
        <v>2029.26</v>
      </c>
      <c r="G51" s="290">
        <v>0</v>
      </c>
      <c r="H51" s="297">
        <v>0</v>
      </c>
      <c r="I51" s="311">
        <v>387.46</v>
      </c>
      <c r="J51" s="312">
        <v>139.33000000000001</v>
      </c>
    </row>
    <row r="52" spans="1:10" ht="14">
      <c r="A52" s="240"/>
      <c r="B52" s="252" t="s">
        <v>116</v>
      </c>
      <c r="C52" s="298">
        <f t="shared" si="0"/>
        <v>5240.6000000000004</v>
      </c>
      <c r="D52" s="293">
        <v>1000</v>
      </c>
      <c r="E52" s="293">
        <v>1271.71</v>
      </c>
      <c r="F52" s="293">
        <v>2430.9</v>
      </c>
      <c r="G52" s="293">
        <v>0</v>
      </c>
      <c r="H52" s="299">
        <v>0</v>
      </c>
      <c r="I52" s="313">
        <v>389.57</v>
      </c>
      <c r="J52" s="314">
        <v>148.41999999999999</v>
      </c>
    </row>
    <row r="53" spans="1:10" ht="14">
      <c r="A53" s="239">
        <v>2015</v>
      </c>
      <c r="B53" s="251" t="s">
        <v>105</v>
      </c>
      <c r="C53" s="296">
        <f t="shared" si="0"/>
        <v>5026.4299999999994</v>
      </c>
      <c r="D53" s="290">
        <v>1000</v>
      </c>
      <c r="E53" s="290">
        <v>1183.99</v>
      </c>
      <c r="F53" s="290">
        <v>2277.91</v>
      </c>
      <c r="G53" s="290">
        <v>0</v>
      </c>
      <c r="H53" s="297">
        <v>0</v>
      </c>
      <c r="I53" s="311">
        <v>389.57</v>
      </c>
      <c r="J53" s="312">
        <v>174.96</v>
      </c>
    </row>
    <row r="54" spans="1:10" ht="14">
      <c r="A54" s="239"/>
      <c r="B54" s="251" t="s">
        <v>106</v>
      </c>
      <c r="C54" s="296">
        <f t="shared" si="0"/>
        <v>5034.12</v>
      </c>
      <c r="D54" s="290">
        <v>1000</v>
      </c>
      <c r="E54" s="290">
        <v>1228.76</v>
      </c>
      <c r="F54" s="290">
        <v>2258.5700000000002</v>
      </c>
      <c r="G54" s="290">
        <v>0</v>
      </c>
      <c r="H54" s="290">
        <v>0</v>
      </c>
      <c r="I54" s="311">
        <v>389.57</v>
      </c>
      <c r="J54" s="312">
        <v>157.22</v>
      </c>
    </row>
    <row r="55" spans="1:10" ht="14">
      <c r="A55" s="239"/>
      <c r="B55" s="251" t="s">
        <v>107</v>
      </c>
      <c r="C55" s="296">
        <f t="shared" si="0"/>
        <v>5444.1399999999994</v>
      </c>
      <c r="D55" s="290">
        <v>1000</v>
      </c>
      <c r="E55" s="290">
        <v>1204.8599999999999</v>
      </c>
      <c r="F55" s="290">
        <v>2692.37</v>
      </c>
      <c r="G55" s="290">
        <v>0</v>
      </c>
      <c r="H55" s="297">
        <v>0</v>
      </c>
      <c r="I55" s="311">
        <v>389.57</v>
      </c>
      <c r="J55" s="312">
        <v>157.34</v>
      </c>
    </row>
    <row r="56" spans="1:10" ht="14">
      <c r="A56" s="239"/>
      <c r="B56" s="251" t="s">
        <v>108</v>
      </c>
      <c r="C56" s="296">
        <f t="shared" si="0"/>
        <v>5135.01</v>
      </c>
      <c r="D56" s="290">
        <v>1000</v>
      </c>
      <c r="E56" s="290">
        <v>1193.3800000000001</v>
      </c>
      <c r="F56" s="290">
        <v>2387.7199999999998</v>
      </c>
      <c r="G56" s="290">
        <v>0</v>
      </c>
      <c r="H56" s="297">
        <v>0</v>
      </c>
      <c r="I56" s="311">
        <v>389.57</v>
      </c>
      <c r="J56" s="312">
        <v>164.34</v>
      </c>
    </row>
    <row r="57" spans="1:10" ht="14">
      <c r="A57" s="239"/>
      <c r="B57" s="251" t="s">
        <v>109</v>
      </c>
      <c r="C57" s="296">
        <f t="shared" si="0"/>
        <v>4889.1399999999994</v>
      </c>
      <c r="D57" s="290">
        <v>1000</v>
      </c>
      <c r="E57" s="290">
        <v>1225.27</v>
      </c>
      <c r="F57" s="290">
        <v>2129.31</v>
      </c>
      <c r="G57" s="290">
        <v>0</v>
      </c>
      <c r="H57" s="297">
        <v>0</v>
      </c>
      <c r="I57" s="311">
        <v>389.57</v>
      </c>
      <c r="J57" s="312">
        <v>144.99</v>
      </c>
    </row>
    <row r="58" spans="1:10" ht="14">
      <c r="A58" s="239"/>
      <c r="B58" s="251" t="s">
        <v>110</v>
      </c>
      <c r="C58" s="296">
        <f t="shared" si="0"/>
        <v>5036.9100000000008</v>
      </c>
      <c r="D58" s="290">
        <v>1000</v>
      </c>
      <c r="E58" s="290">
        <v>1234.6500000000001</v>
      </c>
      <c r="F58" s="290">
        <v>2275.88</v>
      </c>
      <c r="G58" s="290">
        <v>0</v>
      </c>
      <c r="H58" s="290">
        <v>0</v>
      </c>
      <c r="I58" s="311">
        <v>389.57</v>
      </c>
      <c r="J58" s="312">
        <v>136.81</v>
      </c>
    </row>
    <row r="59" spans="1:10" ht="14">
      <c r="A59" s="239"/>
      <c r="B59" s="251" t="s">
        <v>117</v>
      </c>
      <c r="C59" s="296">
        <f t="shared" si="0"/>
        <v>4841.38</v>
      </c>
      <c r="D59" s="290">
        <v>1000</v>
      </c>
      <c r="E59" s="290">
        <v>1214.4000000000001</v>
      </c>
      <c r="F59" s="290">
        <v>2101.6</v>
      </c>
      <c r="G59" s="290">
        <v>0</v>
      </c>
      <c r="H59" s="290">
        <v>0</v>
      </c>
      <c r="I59" s="311">
        <v>389.57</v>
      </c>
      <c r="J59" s="312">
        <v>135.81</v>
      </c>
    </row>
    <row r="60" spans="1:10" ht="14">
      <c r="A60" s="239"/>
      <c r="B60" s="251" t="s">
        <v>112</v>
      </c>
      <c r="C60" s="296">
        <f t="shared" si="0"/>
        <v>4826.2900000000009</v>
      </c>
      <c r="D60" s="290">
        <v>1000</v>
      </c>
      <c r="E60" s="290">
        <v>1203.97</v>
      </c>
      <c r="F60" s="290">
        <v>2112.23</v>
      </c>
      <c r="G60" s="290">
        <v>0</v>
      </c>
      <c r="H60" s="290">
        <v>0</v>
      </c>
      <c r="I60" s="311">
        <v>389.57</v>
      </c>
      <c r="J60" s="312">
        <v>120.52</v>
      </c>
    </row>
    <row r="61" spans="1:10" ht="14">
      <c r="A61" s="239"/>
      <c r="B61" s="251" t="s">
        <v>113</v>
      </c>
      <c r="C61" s="296">
        <f t="shared" si="0"/>
        <v>5649.5300000000007</v>
      </c>
      <c r="D61" s="290">
        <v>1000</v>
      </c>
      <c r="E61" s="290">
        <v>1193.3699999999999</v>
      </c>
      <c r="F61" s="290">
        <v>2913.71</v>
      </c>
      <c r="G61" s="290">
        <v>0</v>
      </c>
      <c r="H61" s="290">
        <v>0</v>
      </c>
      <c r="I61" s="311">
        <v>403.81</v>
      </c>
      <c r="J61" s="312">
        <v>138.63999999999999</v>
      </c>
    </row>
    <row r="62" spans="1:10" ht="14">
      <c r="A62" s="239"/>
      <c r="B62" s="251" t="s">
        <v>114</v>
      </c>
      <c r="C62" s="296">
        <f t="shared" si="0"/>
        <v>4982.66</v>
      </c>
      <c r="D62" s="290">
        <v>1000</v>
      </c>
      <c r="E62" s="290">
        <v>1203.49</v>
      </c>
      <c r="F62" s="290">
        <v>2220.4499999999998</v>
      </c>
      <c r="G62" s="290">
        <v>0</v>
      </c>
      <c r="H62" s="290">
        <v>0</v>
      </c>
      <c r="I62" s="311">
        <v>403.81</v>
      </c>
      <c r="J62" s="312">
        <v>154.91</v>
      </c>
    </row>
    <row r="63" spans="1:10" ht="14">
      <c r="A63" s="239"/>
      <c r="B63" s="251" t="s">
        <v>115</v>
      </c>
      <c r="C63" s="296">
        <f t="shared" si="0"/>
        <v>5080.55</v>
      </c>
      <c r="D63" s="290">
        <v>1000</v>
      </c>
      <c r="E63" s="290">
        <v>1237.3900000000001</v>
      </c>
      <c r="F63" s="290">
        <v>2286.6999999999998</v>
      </c>
      <c r="G63" s="290">
        <v>0</v>
      </c>
      <c r="H63" s="290">
        <v>0</v>
      </c>
      <c r="I63" s="311">
        <v>403.81</v>
      </c>
      <c r="J63" s="312">
        <v>152.65</v>
      </c>
    </row>
    <row r="64" spans="1:10" ht="14">
      <c r="A64" s="240"/>
      <c r="B64" s="252" t="s">
        <v>116</v>
      </c>
      <c r="C64" s="298">
        <f t="shared" si="0"/>
        <v>5168.75</v>
      </c>
      <c r="D64" s="293">
        <v>1000</v>
      </c>
      <c r="E64" s="293">
        <v>1321.95</v>
      </c>
      <c r="F64" s="293">
        <v>2308.0300000000002</v>
      </c>
      <c r="G64" s="293">
        <v>0</v>
      </c>
      <c r="H64" s="293">
        <v>0</v>
      </c>
      <c r="I64" s="313">
        <v>398.72</v>
      </c>
      <c r="J64" s="314">
        <v>140.05000000000001</v>
      </c>
    </row>
    <row r="65" spans="1:10" ht="14">
      <c r="A65" s="239">
        <v>2016</v>
      </c>
      <c r="B65" s="251" t="s">
        <v>105</v>
      </c>
      <c r="C65" s="296">
        <f t="shared" si="0"/>
        <v>4838.33</v>
      </c>
      <c r="D65" s="290">
        <v>1000</v>
      </c>
      <c r="E65" s="290">
        <v>1269.76</v>
      </c>
      <c r="F65" s="290">
        <v>2005.28</v>
      </c>
      <c r="G65" s="290">
        <v>3.33</v>
      </c>
      <c r="H65" s="297">
        <v>0</v>
      </c>
      <c r="I65" s="311">
        <v>401.09</v>
      </c>
      <c r="J65" s="312">
        <v>158.87</v>
      </c>
    </row>
    <row r="66" spans="1:10" ht="14">
      <c r="A66" s="239"/>
      <c r="B66" s="251" t="s">
        <v>106</v>
      </c>
      <c r="C66" s="296">
        <f t="shared" si="0"/>
        <v>5184.5600000000013</v>
      </c>
      <c r="D66" s="290">
        <v>1000</v>
      </c>
      <c r="E66" s="290">
        <v>1275.55</v>
      </c>
      <c r="F66" s="290">
        <v>2256.5100000000002</v>
      </c>
      <c r="G66" s="290">
        <v>95.1</v>
      </c>
      <c r="H66" s="297">
        <v>0</v>
      </c>
      <c r="I66" s="311">
        <v>395.93</v>
      </c>
      <c r="J66" s="312">
        <v>161.47</v>
      </c>
    </row>
    <row r="67" spans="1:10" ht="14">
      <c r="A67" s="239"/>
      <c r="B67" s="251" t="s">
        <v>107</v>
      </c>
      <c r="C67" s="296">
        <f t="shared" si="0"/>
        <v>5431.8399999999992</v>
      </c>
      <c r="D67" s="290">
        <v>1000</v>
      </c>
      <c r="E67" s="290">
        <v>1285.3699999999999</v>
      </c>
      <c r="F67" s="290">
        <v>2494.2399999999998</v>
      </c>
      <c r="G67" s="290">
        <v>69.19</v>
      </c>
      <c r="H67" s="297">
        <v>0</v>
      </c>
      <c r="I67" s="311">
        <v>387.36</v>
      </c>
      <c r="J67" s="312">
        <v>195.68</v>
      </c>
    </row>
    <row r="68" spans="1:10" ht="14">
      <c r="A68" s="239"/>
      <c r="B68" s="251" t="s">
        <v>108</v>
      </c>
      <c r="C68" s="296">
        <f t="shared" si="0"/>
        <v>5200.2899999999991</v>
      </c>
      <c r="D68" s="290">
        <v>1000</v>
      </c>
      <c r="E68" s="290">
        <v>1315.24</v>
      </c>
      <c r="F68" s="290">
        <v>2304.0700000000002</v>
      </c>
      <c r="G68" s="290">
        <v>4.32</v>
      </c>
      <c r="H68" s="297">
        <v>0</v>
      </c>
      <c r="I68" s="311">
        <v>387.8</v>
      </c>
      <c r="J68" s="312">
        <v>188.86</v>
      </c>
    </row>
    <row r="69" spans="1:10" ht="14">
      <c r="A69" s="239"/>
      <c r="B69" s="251" t="s">
        <v>109</v>
      </c>
      <c r="C69" s="296">
        <f t="shared" si="0"/>
        <v>5361.5199999999995</v>
      </c>
      <c r="D69" s="290">
        <v>1000</v>
      </c>
      <c r="E69" s="290">
        <v>1317.82</v>
      </c>
      <c r="F69" s="290">
        <v>2450.58</v>
      </c>
      <c r="G69" s="290">
        <v>11.25</v>
      </c>
      <c r="H69" s="297">
        <v>0</v>
      </c>
      <c r="I69" s="311">
        <v>393.86</v>
      </c>
      <c r="J69" s="312">
        <v>188.01</v>
      </c>
    </row>
    <row r="70" spans="1:10" ht="14">
      <c r="A70" s="239"/>
      <c r="B70" s="251" t="s">
        <v>110</v>
      </c>
      <c r="C70" s="296">
        <f t="shared" ref="C70:C81" si="1">SUM(D70:J70)</f>
        <v>5874.6999999999989</v>
      </c>
      <c r="D70" s="290">
        <v>1000</v>
      </c>
      <c r="E70" s="290">
        <v>1328.53</v>
      </c>
      <c r="F70" s="290">
        <v>2698.04</v>
      </c>
      <c r="G70" s="290">
        <v>254.38</v>
      </c>
      <c r="H70" s="297">
        <v>0</v>
      </c>
      <c r="I70" s="311">
        <v>384.02</v>
      </c>
      <c r="J70" s="312">
        <v>209.73</v>
      </c>
    </row>
    <row r="71" spans="1:10" ht="14">
      <c r="A71" s="239"/>
      <c r="B71" s="251" t="s">
        <v>117</v>
      </c>
      <c r="C71" s="296">
        <f t="shared" si="1"/>
        <v>5653.1</v>
      </c>
      <c r="D71" s="290">
        <v>1000</v>
      </c>
      <c r="E71" s="290">
        <v>1302.1600000000001</v>
      </c>
      <c r="F71" s="290">
        <v>2628.95</v>
      </c>
      <c r="G71" s="290">
        <v>121.64</v>
      </c>
      <c r="H71" s="297">
        <v>0</v>
      </c>
      <c r="I71" s="311">
        <v>384.02</v>
      </c>
      <c r="J71" s="312">
        <v>216.33</v>
      </c>
    </row>
    <row r="72" spans="1:10" ht="14">
      <c r="A72" s="239"/>
      <c r="B72" s="251" t="s">
        <v>112</v>
      </c>
      <c r="C72" s="296">
        <f t="shared" si="1"/>
        <v>5453.3300000000008</v>
      </c>
      <c r="D72" s="290">
        <v>1000</v>
      </c>
      <c r="E72" s="290">
        <v>1268.93</v>
      </c>
      <c r="F72" s="290">
        <v>2559.1</v>
      </c>
      <c r="G72" s="290">
        <v>16.88</v>
      </c>
      <c r="H72" s="297">
        <v>0</v>
      </c>
      <c r="I72" s="311">
        <v>386.76</v>
      </c>
      <c r="J72" s="312">
        <v>221.66</v>
      </c>
    </row>
    <row r="73" spans="1:10" ht="14">
      <c r="A73" s="239"/>
      <c r="B73" s="251" t="s">
        <v>113</v>
      </c>
      <c r="C73" s="296">
        <f t="shared" si="1"/>
        <v>5384.07</v>
      </c>
      <c r="D73" s="290">
        <v>1000</v>
      </c>
      <c r="E73" s="290">
        <v>1282.71</v>
      </c>
      <c r="F73" s="290">
        <v>2473.14</v>
      </c>
      <c r="G73" s="290">
        <v>15.13</v>
      </c>
      <c r="H73" s="297">
        <v>0</v>
      </c>
      <c r="I73" s="311">
        <v>387.9</v>
      </c>
      <c r="J73" s="312">
        <v>225.19</v>
      </c>
    </row>
    <row r="74" spans="1:10" ht="14">
      <c r="A74" s="239"/>
      <c r="B74" s="251" t="s">
        <v>114</v>
      </c>
      <c r="C74" s="296">
        <f t="shared" si="1"/>
        <v>5257.51</v>
      </c>
      <c r="D74" s="290">
        <v>1000</v>
      </c>
      <c r="E74" s="290">
        <v>1273.25</v>
      </c>
      <c r="F74" s="290">
        <v>2191.9299999999998</v>
      </c>
      <c r="G74" s="290">
        <v>185.59</v>
      </c>
      <c r="H74" s="297">
        <v>0</v>
      </c>
      <c r="I74" s="311">
        <v>389.21</v>
      </c>
      <c r="J74" s="312">
        <v>217.53</v>
      </c>
    </row>
    <row r="75" spans="1:10" ht="14">
      <c r="A75" s="239"/>
      <c r="B75" s="251" t="s">
        <v>115</v>
      </c>
      <c r="C75" s="296">
        <f t="shared" si="1"/>
        <v>5106.66</v>
      </c>
      <c r="D75" s="290">
        <v>1000</v>
      </c>
      <c r="E75" s="290">
        <v>1273.92</v>
      </c>
      <c r="F75" s="290">
        <v>2195.59</v>
      </c>
      <c r="G75" s="290">
        <v>68.86</v>
      </c>
      <c r="H75" s="297">
        <v>0</v>
      </c>
      <c r="I75" s="311">
        <v>392.58</v>
      </c>
      <c r="J75" s="312">
        <v>175.71</v>
      </c>
    </row>
    <row r="76" spans="1:10" ht="14">
      <c r="A76" s="240"/>
      <c r="B76" s="252" t="s">
        <v>116</v>
      </c>
      <c r="C76" s="298">
        <f t="shared" si="1"/>
        <v>5568.2800000000007</v>
      </c>
      <c r="D76" s="293">
        <v>1000</v>
      </c>
      <c r="E76" s="293">
        <v>1380.81</v>
      </c>
      <c r="F76" s="293">
        <v>2547.8200000000002</v>
      </c>
      <c r="G76" s="293">
        <v>53.72</v>
      </c>
      <c r="H76" s="299">
        <v>0</v>
      </c>
      <c r="I76" s="313">
        <v>395.67</v>
      </c>
      <c r="J76" s="314">
        <v>190.26</v>
      </c>
    </row>
    <row r="77" spans="1:10" ht="14">
      <c r="A77" s="239">
        <v>2017</v>
      </c>
      <c r="B77" s="251" t="s">
        <v>105</v>
      </c>
      <c r="C77" s="296">
        <f t="shared" si="1"/>
        <v>5092.7400000000007</v>
      </c>
      <c r="D77" s="290">
        <v>1000</v>
      </c>
      <c r="E77" s="290">
        <v>1335.8</v>
      </c>
      <c r="F77" s="290">
        <v>2148.73</v>
      </c>
      <c r="G77" s="290">
        <v>10.08</v>
      </c>
      <c r="H77" s="297">
        <v>0</v>
      </c>
      <c r="I77" s="311">
        <v>392.56</v>
      </c>
      <c r="J77" s="312">
        <v>205.57</v>
      </c>
    </row>
    <row r="78" spans="1:10" ht="14">
      <c r="A78" s="239"/>
      <c r="B78" s="251" t="s">
        <v>106</v>
      </c>
      <c r="C78" s="296">
        <f t="shared" si="1"/>
        <v>5109.49</v>
      </c>
      <c r="D78" s="290">
        <v>1000</v>
      </c>
      <c r="E78" s="290">
        <v>1282.99</v>
      </c>
      <c r="F78" s="290">
        <v>2090.02</v>
      </c>
      <c r="G78" s="290">
        <v>140.41999999999999</v>
      </c>
      <c r="H78" s="297">
        <v>0</v>
      </c>
      <c r="I78" s="311">
        <v>386.83</v>
      </c>
      <c r="J78" s="312">
        <v>209.23</v>
      </c>
    </row>
    <row r="79" spans="1:10" ht="14">
      <c r="A79" s="239"/>
      <c r="B79" s="251" t="s">
        <v>107</v>
      </c>
      <c r="C79" s="296">
        <f t="shared" si="1"/>
        <v>5314.64</v>
      </c>
      <c r="D79" s="290">
        <v>1000</v>
      </c>
      <c r="E79" s="290">
        <v>1262.6500000000001</v>
      </c>
      <c r="F79" s="290">
        <v>2450.4299999999998</v>
      </c>
      <c r="G79" s="290">
        <v>4.17</v>
      </c>
      <c r="H79" s="297">
        <v>0</v>
      </c>
      <c r="I79" s="311">
        <v>385.97</v>
      </c>
      <c r="J79" s="312">
        <v>211.42</v>
      </c>
    </row>
    <row r="80" spans="1:10" ht="14">
      <c r="A80" s="239"/>
      <c r="B80" s="251" t="s">
        <v>108</v>
      </c>
      <c r="C80" s="296">
        <f t="shared" si="1"/>
        <v>5015.079999999999</v>
      </c>
      <c r="D80" s="290">
        <v>1000</v>
      </c>
      <c r="E80" s="290">
        <v>1220.49</v>
      </c>
      <c r="F80" s="290">
        <v>2153.6999999999998</v>
      </c>
      <c r="G80" s="290">
        <v>35.950000000000003</v>
      </c>
      <c r="H80" s="297">
        <v>0</v>
      </c>
      <c r="I80" s="311">
        <v>389.61</v>
      </c>
      <c r="J80" s="312">
        <v>215.33</v>
      </c>
    </row>
    <row r="81" spans="1:10" ht="14">
      <c r="A81" s="239"/>
      <c r="B81" s="251" t="s">
        <v>109</v>
      </c>
      <c r="C81" s="296">
        <f t="shared" si="1"/>
        <v>5016.869999999999</v>
      </c>
      <c r="D81" s="290">
        <v>1000</v>
      </c>
      <c r="E81" s="290">
        <v>1235.03</v>
      </c>
      <c r="F81" s="290">
        <v>2151.35</v>
      </c>
      <c r="G81" s="290">
        <v>1.66</v>
      </c>
      <c r="H81" s="297">
        <v>0</v>
      </c>
      <c r="I81" s="311">
        <v>389.8</v>
      </c>
      <c r="J81" s="312">
        <v>239.03</v>
      </c>
    </row>
    <row r="82" spans="1:10" ht="14">
      <c r="A82" s="239"/>
      <c r="B82" s="251" t="s">
        <v>110</v>
      </c>
      <c r="C82" s="296">
        <f t="shared" ref="C82:C146" si="2">SUM(D82:J82)</f>
        <v>4823.3899999999994</v>
      </c>
      <c r="D82" s="290">
        <v>1000</v>
      </c>
      <c r="E82" s="290">
        <v>1260.6600000000001</v>
      </c>
      <c r="F82" s="290">
        <v>1887.36</v>
      </c>
      <c r="G82" s="290">
        <v>30.5</v>
      </c>
      <c r="H82" s="297">
        <v>0</v>
      </c>
      <c r="I82" s="311">
        <v>390.76</v>
      </c>
      <c r="J82" s="312">
        <v>254.11</v>
      </c>
    </row>
    <row r="83" spans="1:10" ht="14">
      <c r="A83" s="239"/>
      <c r="B83" s="251" t="s">
        <v>117</v>
      </c>
      <c r="C83" s="296">
        <f t="shared" si="2"/>
        <v>4714.7700000000004</v>
      </c>
      <c r="D83" s="290">
        <v>1000</v>
      </c>
      <c r="E83" s="290">
        <v>1205.78</v>
      </c>
      <c r="F83" s="290">
        <v>1795.21</v>
      </c>
      <c r="G83" s="290">
        <v>127.35</v>
      </c>
      <c r="H83" s="297">
        <v>0</v>
      </c>
      <c r="I83" s="311">
        <v>389.01</v>
      </c>
      <c r="J83" s="312">
        <v>197.42</v>
      </c>
    </row>
    <row r="84" spans="1:10" ht="14">
      <c r="A84" s="239"/>
      <c r="B84" s="251" t="s">
        <v>112</v>
      </c>
      <c r="C84" s="296">
        <f t="shared" si="2"/>
        <v>4651.5700000000006</v>
      </c>
      <c r="D84" s="290">
        <v>1000</v>
      </c>
      <c r="E84" s="290">
        <v>1220.76</v>
      </c>
      <c r="F84" s="290">
        <v>1812.25</v>
      </c>
      <c r="G84" s="290">
        <v>32.380000000000003</v>
      </c>
      <c r="H84" s="297">
        <v>0</v>
      </c>
      <c r="I84" s="311">
        <v>390.96</v>
      </c>
      <c r="J84" s="312">
        <v>195.22</v>
      </c>
    </row>
    <row r="85" spans="1:10" ht="14">
      <c r="A85" s="239"/>
      <c r="B85" s="251" t="s">
        <v>113</v>
      </c>
      <c r="C85" s="296">
        <f t="shared" si="2"/>
        <v>4926.7099999999991</v>
      </c>
      <c r="D85" s="290">
        <v>1000</v>
      </c>
      <c r="E85" s="290">
        <v>1211.07</v>
      </c>
      <c r="F85" s="290">
        <v>2108.17</v>
      </c>
      <c r="G85" s="290">
        <v>21.88</v>
      </c>
      <c r="H85" s="297">
        <v>0</v>
      </c>
      <c r="I85" s="311">
        <v>390.69</v>
      </c>
      <c r="J85" s="312">
        <v>194.9</v>
      </c>
    </row>
    <row r="86" spans="1:10" ht="14">
      <c r="A86" s="239"/>
      <c r="B86" s="251" t="s">
        <v>114</v>
      </c>
      <c r="C86" s="296">
        <f t="shared" si="2"/>
        <v>4833.5599999999995</v>
      </c>
      <c r="D86" s="290">
        <v>1000</v>
      </c>
      <c r="E86" s="290">
        <v>1198.3900000000001</v>
      </c>
      <c r="F86" s="290">
        <v>1845.95</v>
      </c>
      <c r="G86" s="290">
        <v>203.82</v>
      </c>
      <c r="H86" s="297">
        <v>0</v>
      </c>
      <c r="I86" s="311">
        <v>388.91</v>
      </c>
      <c r="J86" s="312">
        <v>196.49</v>
      </c>
    </row>
    <row r="87" spans="1:10" ht="14">
      <c r="A87" s="239"/>
      <c r="B87" s="251" t="s">
        <v>115</v>
      </c>
      <c r="C87" s="296">
        <f t="shared" si="2"/>
        <v>4873.97</v>
      </c>
      <c r="D87" s="290">
        <v>1000</v>
      </c>
      <c r="E87" s="290">
        <v>1182.54</v>
      </c>
      <c r="F87" s="290">
        <v>1940.74</v>
      </c>
      <c r="G87" s="290">
        <v>165.67</v>
      </c>
      <c r="H87" s="297">
        <v>0</v>
      </c>
      <c r="I87" s="311">
        <v>388.17</v>
      </c>
      <c r="J87" s="312">
        <v>196.85</v>
      </c>
    </row>
    <row r="88" spans="1:10" ht="14">
      <c r="A88" s="240"/>
      <c r="B88" s="252" t="s">
        <v>116</v>
      </c>
      <c r="C88" s="293">
        <f t="shared" si="2"/>
        <v>5102.66</v>
      </c>
      <c r="D88" s="293">
        <v>1000</v>
      </c>
      <c r="E88" s="293">
        <v>1263.04</v>
      </c>
      <c r="F88" s="293">
        <v>2241.17</v>
      </c>
      <c r="G88" s="293">
        <v>0</v>
      </c>
      <c r="H88" s="293">
        <v>0</v>
      </c>
      <c r="I88" s="313">
        <v>387.37</v>
      </c>
      <c r="J88" s="314">
        <v>211.08</v>
      </c>
    </row>
    <row r="89" spans="1:10" ht="14">
      <c r="A89" s="239">
        <v>2018</v>
      </c>
      <c r="B89" s="251" t="s">
        <v>105</v>
      </c>
      <c r="C89" s="315">
        <f t="shared" si="2"/>
        <v>4676.619999999999</v>
      </c>
      <c r="D89" s="301">
        <v>1000</v>
      </c>
      <c r="E89" s="301">
        <v>1185.99</v>
      </c>
      <c r="F89" s="301">
        <v>1871.19</v>
      </c>
      <c r="G89" s="301">
        <v>16.600000000000001</v>
      </c>
      <c r="H89" s="300">
        <v>0</v>
      </c>
      <c r="I89" s="316">
        <v>388.19</v>
      </c>
      <c r="J89" s="317">
        <v>214.65</v>
      </c>
    </row>
    <row r="90" spans="1:10" ht="14">
      <c r="A90" s="239"/>
      <c r="B90" s="251" t="s">
        <v>106</v>
      </c>
      <c r="C90" s="315">
        <f t="shared" si="2"/>
        <v>4829.1499999999996</v>
      </c>
      <c r="D90" s="301">
        <v>1000</v>
      </c>
      <c r="E90" s="301">
        <v>1214.0899999999999</v>
      </c>
      <c r="F90" s="301">
        <v>1981.86</v>
      </c>
      <c r="G90" s="301">
        <v>37.39</v>
      </c>
      <c r="H90" s="300">
        <v>0</v>
      </c>
      <c r="I90" s="316">
        <v>390.11</v>
      </c>
      <c r="J90" s="317">
        <v>205.7</v>
      </c>
    </row>
    <row r="91" spans="1:10" ht="14">
      <c r="A91" s="239"/>
      <c r="B91" s="251" t="s">
        <v>107</v>
      </c>
      <c r="C91" s="315">
        <f t="shared" si="2"/>
        <v>5352.25</v>
      </c>
      <c r="D91" s="301">
        <v>1000</v>
      </c>
      <c r="E91" s="301">
        <v>1225.46</v>
      </c>
      <c r="F91" s="301">
        <v>2474.17</v>
      </c>
      <c r="G91" s="301">
        <v>57.69</v>
      </c>
      <c r="H91" s="301">
        <v>0</v>
      </c>
      <c r="I91" s="316">
        <v>388.04</v>
      </c>
      <c r="J91" s="317">
        <v>206.89</v>
      </c>
    </row>
    <row r="92" spans="1:10" ht="14">
      <c r="A92" s="239"/>
      <c r="B92" s="273" t="s">
        <v>108</v>
      </c>
      <c r="C92" s="300">
        <f t="shared" si="2"/>
        <v>4673.7700000000004</v>
      </c>
      <c r="D92" s="301">
        <v>1000</v>
      </c>
      <c r="E92" s="301">
        <v>1213.42</v>
      </c>
      <c r="F92" s="301">
        <v>1867.84</v>
      </c>
      <c r="G92" s="301">
        <v>1.92</v>
      </c>
      <c r="H92" s="300">
        <v>0</v>
      </c>
      <c r="I92" s="316">
        <v>387.41</v>
      </c>
      <c r="J92" s="317">
        <v>203.18</v>
      </c>
    </row>
    <row r="93" spans="1:10" ht="14">
      <c r="A93" s="239"/>
      <c r="B93" s="273" t="s">
        <v>109</v>
      </c>
      <c r="C93" s="297">
        <f t="shared" si="2"/>
        <v>4750.05</v>
      </c>
      <c r="D93" s="290">
        <v>1000</v>
      </c>
      <c r="E93" s="290">
        <v>1233.8499999999999</v>
      </c>
      <c r="F93" s="290">
        <v>1905.95</v>
      </c>
      <c r="G93" s="290">
        <v>19.190000000000001</v>
      </c>
      <c r="H93" s="290">
        <v>0</v>
      </c>
      <c r="I93" s="311">
        <v>385.79</v>
      </c>
      <c r="J93" s="312">
        <v>205.27</v>
      </c>
    </row>
    <row r="94" spans="1:10" ht="14">
      <c r="A94" s="239"/>
      <c r="B94" s="273" t="s">
        <v>110</v>
      </c>
      <c r="C94" s="297">
        <f t="shared" si="2"/>
        <v>5148.9500000000007</v>
      </c>
      <c r="D94" s="290">
        <v>1000</v>
      </c>
      <c r="E94" s="290">
        <v>1194.29</v>
      </c>
      <c r="F94" s="290">
        <v>2330.48</v>
      </c>
      <c r="G94" s="290">
        <v>41.93</v>
      </c>
      <c r="H94" s="290">
        <v>0</v>
      </c>
      <c r="I94" s="311">
        <v>387.41</v>
      </c>
      <c r="J94" s="312">
        <v>194.84</v>
      </c>
    </row>
    <row r="95" spans="1:10" ht="14">
      <c r="A95" s="239"/>
      <c r="B95" s="273" t="s">
        <v>117</v>
      </c>
      <c r="C95" s="290">
        <f t="shared" si="2"/>
        <v>4707.67</v>
      </c>
      <c r="D95" s="290">
        <v>1000</v>
      </c>
      <c r="E95" s="290">
        <v>1181.55</v>
      </c>
      <c r="F95" s="290">
        <v>1930.87</v>
      </c>
      <c r="G95" s="290">
        <v>8.7100000000000009</v>
      </c>
      <c r="H95" s="297">
        <v>0</v>
      </c>
      <c r="I95" s="311">
        <v>389.36</v>
      </c>
      <c r="J95" s="312">
        <v>197.18</v>
      </c>
    </row>
    <row r="96" spans="1:10" ht="14">
      <c r="A96" s="239"/>
      <c r="B96" s="273" t="s">
        <v>112</v>
      </c>
      <c r="C96" s="290">
        <f t="shared" si="2"/>
        <v>4714.7100000000009</v>
      </c>
      <c r="D96" s="290">
        <v>1000</v>
      </c>
      <c r="E96" s="290">
        <v>1159.19</v>
      </c>
      <c r="F96" s="290">
        <v>1956.58</v>
      </c>
      <c r="G96" s="290">
        <v>7.77</v>
      </c>
      <c r="H96" s="297">
        <v>0</v>
      </c>
      <c r="I96" s="311">
        <v>390.25</v>
      </c>
      <c r="J96" s="312">
        <v>200.92</v>
      </c>
    </row>
    <row r="97" spans="1:10" ht="14">
      <c r="A97" s="239"/>
      <c r="B97" s="273" t="s">
        <v>113</v>
      </c>
      <c r="C97" s="290">
        <f t="shared" si="2"/>
        <v>4943.78</v>
      </c>
      <c r="D97" s="290">
        <v>1000</v>
      </c>
      <c r="E97" s="290">
        <v>1157.5</v>
      </c>
      <c r="F97" s="290">
        <v>2185.1999999999998</v>
      </c>
      <c r="G97" s="290">
        <v>32.67</v>
      </c>
      <c r="H97" s="290">
        <v>0</v>
      </c>
      <c r="I97" s="311">
        <v>388.17</v>
      </c>
      <c r="J97" s="312">
        <v>180.24</v>
      </c>
    </row>
    <row r="98" spans="1:10" ht="14">
      <c r="A98" s="239"/>
      <c r="B98" s="273" t="s">
        <v>114</v>
      </c>
      <c r="C98" s="297">
        <f t="shared" si="2"/>
        <v>4832.38</v>
      </c>
      <c r="D98" s="290">
        <v>1000</v>
      </c>
      <c r="E98" s="290">
        <v>1158.43</v>
      </c>
      <c r="F98" s="290">
        <v>1943.51</v>
      </c>
      <c r="G98" s="290">
        <v>157.01</v>
      </c>
      <c r="H98" s="297">
        <v>0</v>
      </c>
      <c r="I98" s="311">
        <v>389.98</v>
      </c>
      <c r="J98" s="312">
        <v>183.45</v>
      </c>
    </row>
    <row r="99" spans="1:10" ht="14">
      <c r="A99" s="239"/>
      <c r="B99" s="273" t="s">
        <v>115</v>
      </c>
      <c r="C99" s="297">
        <f t="shared" si="2"/>
        <v>4794.7899999999991</v>
      </c>
      <c r="D99" s="290">
        <v>1000</v>
      </c>
      <c r="E99" s="290">
        <v>1166.08</v>
      </c>
      <c r="F99" s="290">
        <v>1928.56</v>
      </c>
      <c r="G99" s="290">
        <v>128.25</v>
      </c>
      <c r="H99" s="290">
        <v>0</v>
      </c>
      <c r="I99" s="311">
        <v>385.78</v>
      </c>
      <c r="J99" s="312">
        <v>186.12</v>
      </c>
    </row>
    <row r="100" spans="1:10" ht="14">
      <c r="A100" s="240"/>
      <c r="B100" s="274" t="s">
        <v>116</v>
      </c>
      <c r="C100" s="299">
        <f t="shared" si="2"/>
        <v>5114.8999999999996</v>
      </c>
      <c r="D100" s="293">
        <v>1000</v>
      </c>
      <c r="E100" s="293">
        <v>1248.79</v>
      </c>
      <c r="F100" s="293">
        <v>2160.61</v>
      </c>
      <c r="G100" s="293">
        <v>120</v>
      </c>
      <c r="H100" s="293">
        <v>0</v>
      </c>
      <c r="I100" s="313">
        <v>387.33</v>
      </c>
      <c r="J100" s="314">
        <v>198.17</v>
      </c>
    </row>
    <row r="101" spans="1:10" ht="14">
      <c r="A101" s="238">
        <v>2019</v>
      </c>
      <c r="B101" s="247" t="s">
        <v>105</v>
      </c>
      <c r="C101" s="287">
        <f t="shared" si="2"/>
        <v>4843.21</v>
      </c>
      <c r="D101" s="287">
        <v>1000</v>
      </c>
      <c r="E101" s="287">
        <v>1218.93</v>
      </c>
      <c r="F101" s="287">
        <v>1860.23</v>
      </c>
      <c r="G101" s="287">
        <v>168.26</v>
      </c>
      <c r="H101" s="306">
        <v>0</v>
      </c>
      <c r="I101" s="309">
        <v>383.82</v>
      </c>
      <c r="J101" s="310">
        <v>211.97</v>
      </c>
    </row>
    <row r="102" spans="1:10" ht="14">
      <c r="A102" s="239"/>
      <c r="B102" s="251" t="s">
        <v>106</v>
      </c>
      <c r="C102" s="290">
        <f t="shared" si="2"/>
        <v>4955.8600000000006</v>
      </c>
      <c r="D102" s="290">
        <v>1000</v>
      </c>
      <c r="E102" s="290">
        <v>1209.48</v>
      </c>
      <c r="F102" s="290">
        <v>2006.57</v>
      </c>
      <c r="G102" s="290">
        <v>136.1</v>
      </c>
      <c r="H102" s="290">
        <v>0</v>
      </c>
      <c r="I102" s="311">
        <v>383.7</v>
      </c>
      <c r="J102" s="312">
        <v>220.01</v>
      </c>
    </row>
    <row r="103" spans="1:10" ht="14">
      <c r="A103" s="239"/>
      <c r="B103" s="251" t="s">
        <v>107</v>
      </c>
      <c r="C103" s="290">
        <f t="shared" si="2"/>
        <v>5636.8600000000006</v>
      </c>
      <c r="D103" s="290">
        <v>1000</v>
      </c>
      <c r="E103" s="290">
        <v>1212.72</v>
      </c>
      <c r="F103" s="290">
        <v>2688.68</v>
      </c>
      <c r="G103" s="290">
        <v>126.63</v>
      </c>
      <c r="H103" s="290">
        <v>0</v>
      </c>
      <c r="I103" s="311">
        <v>383.06</v>
      </c>
      <c r="J103" s="312">
        <v>225.77</v>
      </c>
    </row>
    <row r="104" spans="1:10" ht="14">
      <c r="A104" s="239"/>
      <c r="B104" s="273" t="s">
        <v>108</v>
      </c>
      <c r="C104" s="297">
        <f t="shared" si="2"/>
        <v>5063.5000000000009</v>
      </c>
      <c r="D104" s="290">
        <v>1000</v>
      </c>
      <c r="E104" s="290">
        <v>1201.01</v>
      </c>
      <c r="F104" s="290">
        <v>2046.8</v>
      </c>
      <c r="G104" s="290">
        <v>195.68</v>
      </c>
      <c r="H104" s="290">
        <v>0</v>
      </c>
      <c r="I104" s="311">
        <v>384.09</v>
      </c>
      <c r="J104" s="312">
        <v>235.92</v>
      </c>
    </row>
    <row r="105" spans="1:10" ht="14">
      <c r="A105" s="239"/>
      <c r="B105" s="273" t="s">
        <v>109</v>
      </c>
      <c r="C105" s="297">
        <f t="shared" si="2"/>
        <v>5076.97</v>
      </c>
      <c r="D105" s="290">
        <v>1000</v>
      </c>
      <c r="E105" s="290">
        <v>1218.44</v>
      </c>
      <c r="F105" s="290">
        <v>2031.92</v>
      </c>
      <c r="G105" s="290">
        <v>205.8</v>
      </c>
      <c r="H105" s="290">
        <v>0</v>
      </c>
      <c r="I105" s="311">
        <v>386.58</v>
      </c>
      <c r="J105" s="312">
        <v>234.23</v>
      </c>
    </row>
    <row r="106" spans="1:10" ht="14">
      <c r="A106" s="239"/>
      <c r="B106" s="273" t="s">
        <v>110</v>
      </c>
      <c r="C106" s="297">
        <f t="shared" si="2"/>
        <v>5285.85</v>
      </c>
      <c r="D106" s="290">
        <v>1000</v>
      </c>
      <c r="E106" s="290">
        <v>1182.79</v>
      </c>
      <c r="F106" s="290">
        <v>2319.4</v>
      </c>
      <c r="G106" s="290">
        <v>131.41999999999999</v>
      </c>
      <c r="H106" s="290">
        <v>0</v>
      </c>
      <c r="I106" s="311">
        <v>382.92</v>
      </c>
      <c r="J106" s="312">
        <v>269.32</v>
      </c>
    </row>
    <row r="107" spans="1:10" ht="14">
      <c r="A107" s="239"/>
      <c r="B107" s="273" t="s">
        <v>117</v>
      </c>
      <c r="C107" s="296">
        <f t="shared" si="2"/>
        <v>4976.78</v>
      </c>
      <c r="D107" s="290">
        <v>1000</v>
      </c>
      <c r="E107" s="290">
        <v>1167.9000000000001</v>
      </c>
      <c r="F107" s="290">
        <v>1979.55</v>
      </c>
      <c r="G107" s="290">
        <v>161.54</v>
      </c>
      <c r="H107" s="290">
        <v>0</v>
      </c>
      <c r="I107" s="311">
        <v>383.3</v>
      </c>
      <c r="J107" s="312">
        <v>284.49</v>
      </c>
    </row>
    <row r="108" spans="1:10" ht="14">
      <c r="A108" s="239"/>
      <c r="B108" s="273" t="s">
        <v>112</v>
      </c>
      <c r="C108" s="296">
        <f t="shared" si="2"/>
        <v>4910.1899999999996</v>
      </c>
      <c r="D108" s="290">
        <v>1000</v>
      </c>
      <c r="E108" s="290">
        <v>1183.5899999999999</v>
      </c>
      <c r="F108" s="290">
        <v>1805.04</v>
      </c>
      <c r="G108" s="290">
        <v>120.28</v>
      </c>
      <c r="H108" s="290">
        <v>0</v>
      </c>
      <c r="I108" s="311">
        <v>386.7</v>
      </c>
      <c r="J108" s="312">
        <v>414.58</v>
      </c>
    </row>
    <row r="109" spans="1:10" ht="14">
      <c r="A109" s="239"/>
      <c r="B109" s="273" t="s">
        <v>113</v>
      </c>
      <c r="C109" s="296">
        <f t="shared" si="2"/>
        <v>5098.82</v>
      </c>
      <c r="D109" s="290">
        <v>1000</v>
      </c>
      <c r="E109" s="290">
        <v>1156.71</v>
      </c>
      <c r="F109" s="290">
        <v>1973.38</v>
      </c>
      <c r="G109" s="290">
        <v>151.15</v>
      </c>
      <c r="H109" s="290">
        <v>0</v>
      </c>
      <c r="I109" s="311">
        <v>385.83</v>
      </c>
      <c r="J109" s="312">
        <v>431.75</v>
      </c>
    </row>
    <row r="110" spans="1:10" ht="14">
      <c r="A110" s="239"/>
      <c r="B110" s="273" t="s">
        <v>114</v>
      </c>
      <c r="C110" s="290">
        <f t="shared" si="2"/>
        <v>4915.72</v>
      </c>
      <c r="D110" s="290">
        <v>1000</v>
      </c>
      <c r="E110" s="290">
        <v>1152.1600000000001</v>
      </c>
      <c r="F110" s="290">
        <v>1773.72</v>
      </c>
      <c r="G110" s="290">
        <v>177.51</v>
      </c>
      <c r="H110" s="290">
        <v>0</v>
      </c>
      <c r="I110" s="311">
        <v>384.51</v>
      </c>
      <c r="J110" s="312">
        <v>427.82</v>
      </c>
    </row>
    <row r="111" spans="1:10" ht="14">
      <c r="A111" s="239"/>
      <c r="B111" s="273" t="s">
        <v>115</v>
      </c>
      <c r="C111" s="290">
        <f t="shared" si="2"/>
        <v>4857.08</v>
      </c>
      <c r="D111" s="290">
        <v>1000</v>
      </c>
      <c r="E111" s="290">
        <v>1158.25</v>
      </c>
      <c r="F111" s="290">
        <v>1777.34</v>
      </c>
      <c r="G111" s="290">
        <v>125.91</v>
      </c>
      <c r="H111" s="290">
        <v>0</v>
      </c>
      <c r="I111" s="311">
        <v>384.17</v>
      </c>
      <c r="J111" s="312">
        <v>411.41</v>
      </c>
    </row>
    <row r="112" spans="1:10" ht="14">
      <c r="A112" s="240"/>
      <c r="B112" s="274" t="s">
        <v>116</v>
      </c>
      <c r="C112" s="293">
        <f t="shared" si="2"/>
        <v>6133.75</v>
      </c>
      <c r="D112" s="293">
        <v>1000</v>
      </c>
      <c r="E112" s="293">
        <v>1228.1199999999999</v>
      </c>
      <c r="F112" s="293">
        <v>2804.72</v>
      </c>
      <c r="G112" s="293">
        <v>287.57</v>
      </c>
      <c r="H112" s="293">
        <v>0</v>
      </c>
      <c r="I112" s="313">
        <v>379.85</v>
      </c>
      <c r="J112" s="314">
        <v>433.49</v>
      </c>
    </row>
    <row r="113" spans="1:10" ht="14">
      <c r="A113" s="238">
        <v>2020</v>
      </c>
      <c r="B113" s="272" t="s">
        <v>105</v>
      </c>
      <c r="C113" s="288">
        <f t="shared" si="2"/>
        <v>4803.6799689800009</v>
      </c>
      <c r="D113" s="287">
        <v>1000</v>
      </c>
      <c r="E113" s="287">
        <v>1226.1550337100011</v>
      </c>
      <c r="F113" s="287">
        <v>1635.1546126899996</v>
      </c>
      <c r="G113" s="287">
        <v>120.27432037</v>
      </c>
      <c r="H113" s="287">
        <v>0</v>
      </c>
      <c r="I113" s="309">
        <v>381.62449554999995</v>
      </c>
      <c r="J113" s="318">
        <v>440.47150666000005</v>
      </c>
    </row>
    <row r="114" spans="1:10" ht="14">
      <c r="A114" s="239"/>
      <c r="B114" s="273" t="s">
        <v>106</v>
      </c>
      <c r="C114" s="291">
        <f t="shared" si="2"/>
        <v>4815.3147441600022</v>
      </c>
      <c r="D114" s="290">
        <v>1000</v>
      </c>
      <c r="E114" s="290">
        <v>1213.7304313600025</v>
      </c>
      <c r="F114" s="290">
        <v>1670.7530046799998</v>
      </c>
      <c r="G114" s="290">
        <v>122.55674814</v>
      </c>
      <c r="H114" s="290">
        <v>0</v>
      </c>
      <c r="I114" s="311">
        <v>390.61157379999997</v>
      </c>
      <c r="J114" s="319">
        <v>417.66298617999996</v>
      </c>
    </row>
    <row r="115" spans="1:10" ht="14">
      <c r="A115" s="239"/>
      <c r="B115" s="273" t="s">
        <v>107</v>
      </c>
      <c r="C115" s="291">
        <f t="shared" si="2"/>
        <v>5505.7424074500013</v>
      </c>
      <c r="D115" s="290">
        <v>1000</v>
      </c>
      <c r="E115" s="290">
        <v>1231.7309025500017</v>
      </c>
      <c r="F115" s="290">
        <v>2367.3331330499996</v>
      </c>
      <c r="G115" s="290">
        <v>124.27507932</v>
      </c>
      <c r="H115" s="290">
        <v>0</v>
      </c>
      <c r="I115" s="311">
        <v>395.69805362999995</v>
      </c>
      <c r="J115" s="319">
        <v>386.70523889999998</v>
      </c>
    </row>
    <row r="116" spans="1:10" ht="14">
      <c r="A116" s="239"/>
      <c r="B116" s="273" t="s">
        <v>108</v>
      </c>
      <c r="C116" s="297">
        <f t="shared" si="2"/>
        <v>4952.6390576100011</v>
      </c>
      <c r="D116" s="290">
        <v>1000</v>
      </c>
      <c r="E116" s="290">
        <v>1246.2998145100014</v>
      </c>
      <c r="F116" s="290">
        <v>1828.31533487</v>
      </c>
      <c r="G116" s="290">
        <v>126.77741447</v>
      </c>
      <c r="H116" s="290">
        <v>0</v>
      </c>
      <c r="I116" s="311">
        <v>392.29751632999995</v>
      </c>
      <c r="J116" s="319">
        <v>358.94897742999996</v>
      </c>
    </row>
    <row r="117" spans="1:10" ht="14">
      <c r="A117" s="239"/>
      <c r="B117" s="273" t="s">
        <v>109</v>
      </c>
      <c r="C117" s="297">
        <f t="shared" si="2"/>
        <v>6425.2330586200014</v>
      </c>
      <c r="D117" s="290">
        <v>1000</v>
      </c>
      <c r="E117" s="290">
        <v>1290.5841029500004</v>
      </c>
      <c r="F117" s="290">
        <v>3220.1954312699995</v>
      </c>
      <c r="G117" s="290">
        <v>141.75754563000001</v>
      </c>
      <c r="H117" s="290">
        <v>0</v>
      </c>
      <c r="I117" s="311">
        <v>394.88799153999997</v>
      </c>
      <c r="J117" s="319">
        <v>377.80798723000004</v>
      </c>
    </row>
    <row r="118" spans="1:10" ht="14">
      <c r="A118" s="239"/>
      <c r="B118" s="273" t="s">
        <v>110</v>
      </c>
      <c r="C118" s="297">
        <f t="shared" si="2"/>
        <v>6029.3618071500005</v>
      </c>
      <c r="D118" s="290">
        <v>1000</v>
      </c>
      <c r="E118" s="290">
        <v>1249.8312050100008</v>
      </c>
      <c r="F118" s="290">
        <v>2810.46068762</v>
      </c>
      <c r="G118" s="290">
        <v>187.15642083</v>
      </c>
      <c r="H118" s="290">
        <v>0</v>
      </c>
      <c r="I118" s="311">
        <v>390.0388537099999</v>
      </c>
      <c r="J118" s="319">
        <v>391.87463997999993</v>
      </c>
    </row>
    <row r="119" spans="1:10" ht="14">
      <c r="A119" s="239"/>
      <c r="B119" s="273" t="s">
        <v>117</v>
      </c>
      <c r="C119" s="290">
        <f t="shared" si="2"/>
        <v>5122.249337809998</v>
      </c>
      <c r="D119" s="290">
        <v>1000</v>
      </c>
      <c r="E119" s="290">
        <v>1258.2710294899989</v>
      </c>
      <c r="F119" s="290">
        <v>1697.5032630099995</v>
      </c>
      <c r="G119" s="290">
        <v>341.94751500000001</v>
      </c>
      <c r="H119" s="290">
        <v>0</v>
      </c>
      <c r="I119" s="311">
        <v>393.77698485999997</v>
      </c>
      <c r="J119" s="319">
        <v>430.75054545000006</v>
      </c>
    </row>
    <row r="120" spans="1:10" ht="14">
      <c r="A120" s="239"/>
      <c r="B120" s="273" t="s">
        <v>112</v>
      </c>
      <c r="C120" s="290">
        <f t="shared" si="2"/>
        <v>5234.909667449997</v>
      </c>
      <c r="D120" s="290">
        <v>1000</v>
      </c>
      <c r="E120" s="290">
        <v>1260.7618419999983</v>
      </c>
      <c r="F120" s="290">
        <v>2024.5642182599995</v>
      </c>
      <c r="G120" s="290">
        <v>126.50456093</v>
      </c>
      <c r="H120" s="290">
        <v>0</v>
      </c>
      <c r="I120" s="311">
        <v>392.09872622999995</v>
      </c>
      <c r="J120" s="319">
        <v>430.98032003000003</v>
      </c>
    </row>
    <row r="121" spans="1:10" ht="14">
      <c r="A121" s="239"/>
      <c r="B121" s="273" t="s">
        <v>113</v>
      </c>
      <c r="C121" s="290">
        <f t="shared" si="2"/>
        <v>5241.7460421400001</v>
      </c>
      <c r="D121" s="290">
        <v>1000</v>
      </c>
      <c r="E121" s="290">
        <v>1268.7726502200001</v>
      </c>
      <c r="F121" s="290">
        <v>2019.0460957999999</v>
      </c>
      <c r="G121" s="290">
        <v>145.44662461000001</v>
      </c>
      <c r="H121" s="290">
        <v>0</v>
      </c>
      <c r="I121" s="311">
        <v>392.20225333999997</v>
      </c>
      <c r="J121" s="319">
        <v>416.2784181699999</v>
      </c>
    </row>
    <row r="122" spans="1:10" ht="14">
      <c r="A122" s="239"/>
      <c r="B122" s="273" t="s">
        <v>114</v>
      </c>
      <c r="C122" s="297">
        <f t="shared" si="2"/>
        <v>5045.797750509998</v>
      </c>
      <c r="D122" s="290">
        <v>1000</v>
      </c>
      <c r="E122" s="290">
        <v>1276.1789283899986</v>
      </c>
      <c r="F122" s="290">
        <v>1838.2178485999991</v>
      </c>
      <c r="G122" s="290">
        <v>129.11585681</v>
      </c>
      <c r="H122" s="290">
        <v>0</v>
      </c>
      <c r="I122" s="311">
        <v>391.75528715999997</v>
      </c>
      <c r="J122" s="319">
        <v>410.52982954999999</v>
      </c>
    </row>
    <row r="123" spans="1:10" ht="14">
      <c r="A123" s="239"/>
      <c r="B123" s="273" t="s">
        <v>115</v>
      </c>
      <c r="C123" s="297">
        <f t="shared" si="2"/>
        <v>5464.4040000000005</v>
      </c>
      <c r="D123" s="290">
        <v>1000</v>
      </c>
      <c r="E123" s="290">
        <v>1282.7619999999999</v>
      </c>
      <c r="F123" s="290">
        <v>2212.8850000000002</v>
      </c>
      <c r="G123" s="290">
        <v>184.58500000000001</v>
      </c>
      <c r="H123" s="290">
        <v>0</v>
      </c>
      <c r="I123" s="311">
        <v>389.19299999999998</v>
      </c>
      <c r="J123" s="319">
        <v>394.97899999999998</v>
      </c>
    </row>
    <row r="124" spans="1:10" ht="14">
      <c r="A124" s="240"/>
      <c r="B124" s="274" t="s">
        <v>116</v>
      </c>
      <c r="C124" s="299">
        <f t="shared" si="2"/>
        <v>5614.027885829998</v>
      </c>
      <c r="D124" s="293">
        <v>1000</v>
      </c>
      <c r="E124" s="293">
        <v>1357.799872719999</v>
      </c>
      <c r="F124" s="293">
        <v>2246.9916807699997</v>
      </c>
      <c r="G124" s="293">
        <v>191.95522</v>
      </c>
      <c r="H124" s="293">
        <v>0</v>
      </c>
      <c r="I124" s="311">
        <v>391.34696388999998</v>
      </c>
      <c r="J124" s="320">
        <v>425.93414845000001</v>
      </c>
    </row>
    <row r="125" spans="1:10" ht="14">
      <c r="A125" s="238">
        <v>2021</v>
      </c>
      <c r="B125" s="272" t="s">
        <v>105</v>
      </c>
      <c r="C125" s="306">
        <f t="shared" si="2"/>
        <v>5076.9458601963106</v>
      </c>
      <c r="D125" s="287">
        <v>1000</v>
      </c>
      <c r="E125" s="287">
        <v>1321.3801006300002</v>
      </c>
      <c r="F125" s="287">
        <v>1773.2444613999999</v>
      </c>
      <c r="G125" s="287">
        <v>171.83710639</v>
      </c>
      <c r="H125" s="287">
        <v>0</v>
      </c>
      <c r="I125" s="309">
        <v>390.40634244631042</v>
      </c>
      <c r="J125" s="318">
        <v>420.07784932999999</v>
      </c>
    </row>
    <row r="126" spans="1:10" ht="14">
      <c r="A126" s="239"/>
      <c r="B126" s="273" t="s">
        <v>106</v>
      </c>
      <c r="C126" s="297">
        <f t="shared" si="2"/>
        <v>5212.5546186214624</v>
      </c>
      <c r="D126" s="290">
        <v>1000</v>
      </c>
      <c r="E126" s="290">
        <v>1347.8479314700014</v>
      </c>
      <c r="F126" s="290">
        <v>1912.18671761</v>
      </c>
      <c r="G126" s="290">
        <v>172.42078583</v>
      </c>
      <c r="H126" s="290">
        <v>0</v>
      </c>
      <c r="I126" s="311">
        <v>388.93733842146048</v>
      </c>
      <c r="J126" s="319">
        <v>391.16184528999997</v>
      </c>
    </row>
    <row r="127" spans="1:10" ht="14">
      <c r="A127" s="239"/>
      <c r="B127" s="273" t="s">
        <v>107</v>
      </c>
      <c r="C127" s="297">
        <f t="shared" si="2"/>
        <v>5728.5064002123891</v>
      </c>
      <c r="D127" s="290">
        <v>1000</v>
      </c>
      <c r="E127" s="290">
        <v>1346.6228701200007</v>
      </c>
      <c r="F127" s="290">
        <v>2318.7937694699999</v>
      </c>
      <c r="G127" s="290">
        <v>283.20026000000001</v>
      </c>
      <c r="H127" s="290">
        <v>0</v>
      </c>
      <c r="I127" s="311">
        <v>388.54227270238823</v>
      </c>
      <c r="J127" s="319">
        <v>391.34722792000002</v>
      </c>
    </row>
    <row r="128" spans="1:10" ht="14">
      <c r="A128" s="239"/>
      <c r="B128" s="273" t="s">
        <v>108</v>
      </c>
      <c r="C128" s="297">
        <f t="shared" si="2"/>
        <v>5103.0185391800005</v>
      </c>
      <c r="D128" s="290">
        <v>1000</v>
      </c>
      <c r="E128" s="290">
        <v>1364.344897120001</v>
      </c>
      <c r="F128" s="290">
        <v>1786.5670036399997</v>
      </c>
      <c r="G128" s="290">
        <v>166.67924464000001</v>
      </c>
      <c r="H128" s="290">
        <v>0</v>
      </c>
      <c r="I128" s="311">
        <v>387.58299463999998</v>
      </c>
      <c r="J128" s="319">
        <v>397.84439914000001</v>
      </c>
    </row>
    <row r="129" spans="1:10" ht="14">
      <c r="A129" s="239"/>
      <c r="B129" s="273" t="s">
        <v>109</v>
      </c>
      <c r="C129" s="297">
        <f t="shared" si="2"/>
        <v>5205.1945403099999</v>
      </c>
      <c r="D129" s="290">
        <v>1000</v>
      </c>
      <c r="E129" s="290">
        <v>1351.2254403600004</v>
      </c>
      <c r="F129" s="290">
        <v>1901.6779986899999</v>
      </c>
      <c r="G129" s="290">
        <v>141.16870459999998</v>
      </c>
      <c r="H129" s="290">
        <v>0</v>
      </c>
      <c r="I129" s="311">
        <v>389.30836701999999</v>
      </c>
      <c r="J129" s="319">
        <v>421.81402963999994</v>
      </c>
    </row>
    <row r="130" spans="1:10" ht="14">
      <c r="A130" s="239"/>
      <c r="B130" s="273" t="s">
        <v>110</v>
      </c>
      <c r="C130" s="297">
        <f t="shared" si="2"/>
        <v>5684.7616315400001</v>
      </c>
      <c r="D130" s="290">
        <v>1000</v>
      </c>
      <c r="E130" s="290">
        <v>1351.7359267300003</v>
      </c>
      <c r="F130" s="290">
        <v>2351.1349842200002</v>
      </c>
      <c r="G130" s="290">
        <v>168.05812908000001</v>
      </c>
      <c r="H130" s="290">
        <v>0</v>
      </c>
      <c r="I130" s="311">
        <v>390.25576551999995</v>
      </c>
      <c r="J130" s="319">
        <v>423.57682598999997</v>
      </c>
    </row>
    <row r="131" spans="1:10" ht="14">
      <c r="A131" s="239"/>
      <c r="B131" s="273" t="s">
        <v>117</v>
      </c>
      <c r="C131" s="297">
        <f t="shared" si="2"/>
        <v>5176.1224534399998</v>
      </c>
      <c r="D131" s="290">
        <v>1000</v>
      </c>
      <c r="E131" s="290">
        <v>1344.5807025600004</v>
      </c>
      <c r="F131" s="290">
        <v>1792.8476574700001</v>
      </c>
      <c r="G131" s="290">
        <v>209.36011583999999</v>
      </c>
      <c r="H131" s="290">
        <v>0</v>
      </c>
      <c r="I131" s="311">
        <v>393.51504709999995</v>
      </c>
      <c r="J131" s="319">
        <v>435.81893047000005</v>
      </c>
    </row>
    <row r="132" spans="1:10" ht="14">
      <c r="A132" s="239"/>
      <c r="B132" s="273" t="s">
        <v>112</v>
      </c>
      <c r="C132" s="297">
        <f t="shared" si="2"/>
        <v>5876.0435630600014</v>
      </c>
      <c r="D132" s="290">
        <v>1000</v>
      </c>
      <c r="E132" s="290">
        <v>1363.8324632600013</v>
      </c>
      <c r="F132" s="290">
        <v>1890.2047027899998</v>
      </c>
      <c r="G132" s="290">
        <v>246.78601742000001</v>
      </c>
      <c r="H132" s="290">
        <v>0</v>
      </c>
      <c r="I132" s="311">
        <v>942.68484365999984</v>
      </c>
      <c r="J132" s="319">
        <v>432.53553593000004</v>
      </c>
    </row>
    <row r="133" spans="1:10" ht="14">
      <c r="A133" s="239"/>
      <c r="B133" s="273" t="s">
        <v>113</v>
      </c>
      <c r="C133" s="297">
        <f t="shared" si="2"/>
        <v>6451.3185879299999</v>
      </c>
      <c r="D133" s="290">
        <v>1000</v>
      </c>
      <c r="E133" s="290">
        <v>1345.9479682299996</v>
      </c>
      <c r="F133" s="290">
        <v>2646.5587076499996</v>
      </c>
      <c r="G133" s="290">
        <v>94.904685540000003</v>
      </c>
      <c r="H133" s="290">
        <v>0</v>
      </c>
      <c r="I133" s="311">
        <v>944.01531598999998</v>
      </c>
      <c r="J133" s="319">
        <v>419.89191052000001</v>
      </c>
    </row>
    <row r="134" spans="1:10" ht="14">
      <c r="A134" s="239"/>
      <c r="B134" s="273" t="s">
        <v>114</v>
      </c>
      <c r="C134" s="297">
        <f t="shared" si="2"/>
        <v>5996.4889007940728</v>
      </c>
      <c r="D134" s="290">
        <v>1000</v>
      </c>
      <c r="E134" s="290">
        <v>1366.9272868100004</v>
      </c>
      <c r="F134" s="290">
        <v>2166.2398863099997</v>
      </c>
      <c r="G134" s="290">
        <v>103.00943451000001</v>
      </c>
      <c r="H134" s="290">
        <v>0</v>
      </c>
      <c r="I134" s="311">
        <v>936.74004941407259</v>
      </c>
      <c r="J134" s="319">
        <v>423.57224374999998</v>
      </c>
    </row>
    <row r="135" spans="1:10" ht="14">
      <c r="A135" s="239"/>
      <c r="B135" s="273" t="s">
        <v>115</v>
      </c>
      <c r="C135" s="297">
        <f t="shared" si="2"/>
        <v>6036.3059560695592</v>
      </c>
      <c r="D135" s="290">
        <v>1000</v>
      </c>
      <c r="E135" s="290">
        <v>1369.6249699700008</v>
      </c>
      <c r="F135" s="290">
        <v>2101.7276547699998</v>
      </c>
      <c r="G135" s="290">
        <v>171.39128217000001</v>
      </c>
      <c r="H135" s="290">
        <v>0</v>
      </c>
      <c r="I135" s="311">
        <v>943.77875930955884</v>
      </c>
      <c r="J135" s="319">
        <v>449.78328984999996</v>
      </c>
    </row>
    <row r="136" spans="1:10" ht="14">
      <c r="A136" s="240"/>
      <c r="B136" s="274" t="s">
        <v>116</v>
      </c>
      <c r="C136" s="299">
        <f t="shared" si="2"/>
        <v>7087.3828572500006</v>
      </c>
      <c r="D136" s="293">
        <v>1000</v>
      </c>
      <c r="E136" s="293">
        <v>1431.4355419100011</v>
      </c>
      <c r="F136" s="293">
        <v>3194.2008552200004</v>
      </c>
      <c r="G136" s="293">
        <v>76.996632480000002</v>
      </c>
      <c r="H136" s="293">
        <v>0</v>
      </c>
      <c r="I136" s="313">
        <v>938.07366649999983</v>
      </c>
      <c r="J136" s="320">
        <v>446.67616113999998</v>
      </c>
    </row>
    <row r="137" spans="1:10" ht="14">
      <c r="A137" s="238">
        <v>2022</v>
      </c>
      <c r="B137" s="272" t="s">
        <v>105</v>
      </c>
      <c r="C137" s="287">
        <f t="shared" si="2"/>
        <v>6011.7196516900021</v>
      </c>
      <c r="D137" s="287">
        <v>1000</v>
      </c>
      <c r="E137" s="287">
        <v>1432.9780902000016</v>
      </c>
      <c r="F137" s="287">
        <v>1846.7308897500002</v>
      </c>
      <c r="G137" s="287">
        <v>275.76023889999999</v>
      </c>
      <c r="H137" s="287">
        <v>0</v>
      </c>
      <c r="I137" s="309">
        <v>928.86438912999984</v>
      </c>
      <c r="J137" s="318">
        <v>527.38604370999997</v>
      </c>
    </row>
    <row r="138" spans="1:10" ht="14">
      <c r="A138" s="239"/>
      <c r="B138" s="273" t="s">
        <v>106</v>
      </c>
      <c r="C138" s="290">
        <f t="shared" si="2"/>
        <v>5791.93287564</v>
      </c>
      <c r="D138" s="290">
        <v>1000</v>
      </c>
      <c r="E138" s="290">
        <v>1422.2380442999997</v>
      </c>
      <c r="F138" s="290">
        <v>1932.3511710400003</v>
      </c>
      <c r="G138" s="290">
        <v>74.936121099999994</v>
      </c>
      <c r="H138" s="290">
        <v>0</v>
      </c>
      <c r="I138" s="311">
        <v>927.65315943999997</v>
      </c>
      <c r="J138" s="319">
        <v>434.75437976000001</v>
      </c>
    </row>
    <row r="139" spans="1:10" ht="14">
      <c r="A139" s="239"/>
      <c r="B139" s="273" t="s">
        <v>107</v>
      </c>
      <c r="C139" s="290">
        <f t="shared" si="2"/>
        <v>6887.2286556399995</v>
      </c>
      <c r="D139" s="290">
        <v>1000</v>
      </c>
      <c r="E139" s="290">
        <v>1431.6449972299997</v>
      </c>
      <c r="F139" s="290">
        <v>3003.2889895600001</v>
      </c>
      <c r="G139" s="290">
        <v>95.858138990000015</v>
      </c>
      <c r="H139" s="290">
        <v>0</v>
      </c>
      <c r="I139" s="311">
        <v>921.03711942999985</v>
      </c>
      <c r="J139" s="319">
        <v>435.39941042999999</v>
      </c>
    </row>
    <row r="140" spans="1:10" ht="14">
      <c r="A140" s="239"/>
      <c r="B140" s="273" t="s">
        <v>108</v>
      </c>
      <c r="C140" s="290">
        <f t="shared" si="2"/>
        <v>5743.3677311600004</v>
      </c>
      <c r="D140" s="290">
        <v>1000</v>
      </c>
      <c r="E140" s="290">
        <v>1439.95720211</v>
      </c>
      <c r="F140" s="290">
        <v>1907.9222901500004</v>
      </c>
      <c r="G140" s="290">
        <v>56.102169330000002</v>
      </c>
      <c r="H140" s="290">
        <v>0</v>
      </c>
      <c r="I140" s="311">
        <v>916.43514868999978</v>
      </c>
      <c r="J140" s="319">
        <v>422.95092088000001</v>
      </c>
    </row>
    <row r="141" spans="1:10" ht="14">
      <c r="A141" s="239"/>
      <c r="B141" s="273" t="s">
        <v>109</v>
      </c>
      <c r="C141" s="290">
        <f t="shared" si="2"/>
        <v>5649.1666313799997</v>
      </c>
      <c r="D141" s="290">
        <v>1000</v>
      </c>
      <c r="E141" s="290">
        <v>1411.1797910499988</v>
      </c>
      <c r="F141" s="290">
        <v>1821.2458117599999</v>
      </c>
      <c r="G141" s="290">
        <v>97.840600519999995</v>
      </c>
      <c r="H141" s="290">
        <v>0</v>
      </c>
      <c r="I141" s="311">
        <v>910.23839380999982</v>
      </c>
      <c r="J141" s="319">
        <v>408.66203424000003</v>
      </c>
    </row>
    <row r="142" spans="1:10" ht="14">
      <c r="A142" s="239"/>
      <c r="B142" s="273" t="s">
        <v>110</v>
      </c>
      <c r="C142" s="290">
        <f t="shared" si="2"/>
        <v>7213.6425321600018</v>
      </c>
      <c r="D142" s="290">
        <v>1000</v>
      </c>
      <c r="E142" s="290">
        <v>1401.9744384400021</v>
      </c>
      <c r="F142" s="290">
        <v>3434.6161198700001</v>
      </c>
      <c r="G142" s="290">
        <v>70.881146080000008</v>
      </c>
      <c r="H142" s="321">
        <v>0</v>
      </c>
      <c r="I142" s="311">
        <v>909.74721320999993</v>
      </c>
      <c r="J142" s="319">
        <v>396.42361456000003</v>
      </c>
    </row>
    <row r="143" spans="1:10" ht="14">
      <c r="A143" s="239"/>
      <c r="B143" s="273" t="s">
        <v>117</v>
      </c>
      <c r="C143" s="290">
        <f t="shared" si="2"/>
        <v>5547.7163920500016</v>
      </c>
      <c r="D143" s="290">
        <v>1000</v>
      </c>
      <c r="E143" s="290">
        <v>1391.1984591800012</v>
      </c>
      <c r="F143" s="290">
        <v>1794.04046595</v>
      </c>
      <c r="G143" s="290">
        <v>64.615344339999993</v>
      </c>
      <c r="H143" s="321">
        <v>0</v>
      </c>
      <c r="I143" s="311">
        <v>895.88650509000001</v>
      </c>
      <c r="J143" s="319">
        <v>401.97561748999993</v>
      </c>
    </row>
    <row r="144" spans="1:10" ht="14">
      <c r="A144" s="239"/>
      <c r="B144" s="273" t="s">
        <v>112</v>
      </c>
      <c r="C144" s="290">
        <f t="shared" si="2"/>
        <v>5725.2831784799982</v>
      </c>
      <c r="D144" s="290">
        <v>1000</v>
      </c>
      <c r="E144" s="290">
        <v>1389.3364136399982</v>
      </c>
      <c r="F144" s="290">
        <v>1901.3383979800001</v>
      </c>
      <c r="G144" s="290">
        <v>79.173853930000007</v>
      </c>
      <c r="H144" s="321">
        <v>0</v>
      </c>
      <c r="I144" s="311">
        <v>893.68439865999994</v>
      </c>
      <c r="J144" s="319">
        <v>461.75011427000004</v>
      </c>
    </row>
    <row r="145" spans="1:10" ht="14">
      <c r="A145" s="239"/>
      <c r="B145" s="273" t="s">
        <v>113</v>
      </c>
      <c r="C145" s="290">
        <f t="shared" si="2"/>
        <v>7003.75314678</v>
      </c>
      <c r="D145" s="290">
        <v>1000</v>
      </c>
      <c r="E145" s="290">
        <v>1364.2583001700013</v>
      </c>
      <c r="F145" s="290">
        <v>3298.9679477199993</v>
      </c>
      <c r="G145" s="290">
        <v>44.958739519999995</v>
      </c>
      <c r="H145" s="290">
        <v>0</v>
      </c>
      <c r="I145" s="311">
        <v>903.51588492999997</v>
      </c>
      <c r="J145" s="319">
        <v>392.05227444000002</v>
      </c>
    </row>
    <row r="146" spans="1:10" ht="14">
      <c r="A146" s="239"/>
      <c r="B146" s="273" t="s">
        <v>114</v>
      </c>
      <c r="C146" s="290">
        <f t="shared" si="2"/>
        <v>5534.6027181899999</v>
      </c>
      <c r="D146" s="290">
        <v>1000</v>
      </c>
      <c r="E146" s="290">
        <v>1361.6274651999993</v>
      </c>
      <c r="F146" s="290">
        <v>1869.5699581300005</v>
      </c>
      <c r="G146" s="290">
        <v>29.034286549999997</v>
      </c>
      <c r="H146" s="290">
        <v>0</v>
      </c>
      <c r="I146" s="311">
        <v>891.52215195999997</v>
      </c>
      <c r="J146" s="319">
        <v>382.84885635000006</v>
      </c>
    </row>
    <row r="147" spans="1:10" ht="14">
      <c r="A147" s="239"/>
      <c r="B147" s="273" t="s">
        <v>115</v>
      </c>
      <c r="C147" s="290">
        <f>SUM(D147:J147)</f>
        <v>5711.9925917799983</v>
      </c>
      <c r="D147" s="290">
        <v>1000</v>
      </c>
      <c r="E147" s="290">
        <v>1359.1085463099992</v>
      </c>
      <c r="F147" s="290">
        <v>1933.8739312000002</v>
      </c>
      <c r="G147" s="290">
        <v>88.548476179999994</v>
      </c>
      <c r="H147" s="290">
        <v>0</v>
      </c>
      <c r="I147" s="311">
        <v>888.19575681999993</v>
      </c>
      <c r="J147" s="319">
        <v>442.26588127000002</v>
      </c>
    </row>
    <row r="148" spans="1:10" ht="14">
      <c r="A148" s="240"/>
      <c r="B148" s="274" t="s">
        <v>116</v>
      </c>
      <c r="C148" s="293">
        <f>SUM(D148:J148)</f>
        <v>7052.1607012899958</v>
      </c>
      <c r="D148" s="293">
        <v>1000</v>
      </c>
      <c r="E148" s="293">
        <v>1422.2726778999961</v>
      </c>
      <c r="F148" s="293">
        <v>3237.12526342</v>
      </c>
      <c r="G148" s="293">
        <v>54.95707462</v>
      </c>
      <c r="H148" s="293">
        <v>0</v>
      </c>
      <c r="I148" s="313">
        <v>885.90209811999989</v>
      </c>
      <c r="J148" s="320">
        <v>451.90358722999997</v>
      </c>
    </row>
    <row r="149" spans="1:10" ht="14">
      <c r="A149" s="238">
        <v>2023</v>
      </c>
      <c r="B149" s="272" t="s">
        <v>105</v>
      </c>
      <c r="C149" s="287">
        <f>SUM(D149:J149)</f>
        <v>5922.5357905699984</v>
      </c>
      <c r="D149" s="287">
        <v>1000</v>
      </c>
      <c r="E149" s="287">
        <v>1414.3585624499999</v>
      </c>
      <c r="F149" s="287">
        <v>1978.9622768999991</v>
      </c>
      <c r="G149" s="287">
        <v>188.64844023999999</v>
      </c>
      <c r="H149" s="287">
        <v>0</v>
      </c>
      <c r="I149" s="309">
        <v>872.40831034999985</v>
      </c>
      <c r="J149" s="318">
        <v>468.15820063000001</v>
      </c>
    </row>
    <row r="150" spans="1:10" ht="14">
      <c r="A150" s="239"/>
      <c r="B150" s="273" t="s">
        <v>106</v>
      </c>
      <c r="C150" s="290">
        <f>SUM(D150:J150)</f>
        <v>5722.42</v>
      </c>
      <c r="D150" s="290">
        <v>1000</v>
      </c>
      <c r="E150" s="290">
        <v>1378.578</v>
      </c>
      <c r="F150" s="290">
        <v>1882.585</v>
      </c>
      <c r="G150" s="290">
        <v>119.727</v>
      </c>
      <c r="H150" s="290">
        <v>0</v>
      </c>
      <c r="I150" s="311">
        <v>881.78399999999999</v>
      </c>
      <c r="J150" s="319">
        <v>459.74599999999998</v>
      </c>
    </row>
    <row r="151" spans="1:10" ht="14">
      <c r="A151" s="239"/>
      <c r="B151" s="273" t="s">
        <v>107</v>
      </c>
      <c r="C151" s="290">
        <f>SUM(D151:J151)</f>
        <v>6001.2876534099978</v>
      </c>
      <c r="D151" s="290">
        <v>1000</v>
      </c>
      <c r="E151" s="290">
        <v>1384.8273224199982</v>
      </c>
      <c r="F151" s="290">
        <v>2163.9326396999995</v>
      </c>
      <c r="G151" s="290">
        <v>62.772716189999997</v>
      </c>
      <c r="H151" s="290">
        <v>0</v>
      </c>
      <c r="I151" s="311">
        <v>878.79034998999987</v>
      </c>
      <c r="J151" s="319">
        <v>510.96462511000004</v>
      </c>
    </row>
    <row r="152" spans="1:10" ht="14">
      <c r="A152" s="239"/>
      <c r="B152" s="273" t="s">
        <v>108</v>
      </c>
      <c r="C152" s="290">
        <f t="shared" ref="C152:C187" si="3">SUM(D152:J152)</f>
        <v>5706.1629999999996</v>
      </c>
      <c r="D152" s="290">
        <v>1000</v>
      </c>
      <c r="E152" s="290">
        <v>1429.4059999999999</v>
      </c>
      <c r="F152" s="290">
        <v>1862.9859999999999</v>
      </c>
      <c r="G152" s="290">
        <v>36.217000000000006</v>
      </c>
      <c r="H152" s="290">
        <v>0</v>
      </c>
      <c r="I152" s="311">
        <v>884.59400000000005</v>
      </c>
      <c r="J152" s="319">
        <v>492.96</v>
      </c>
    </row>
    <row r="153" spans="1:10" ht="14">
      <c r="A153" s="239"/>
      <c r="B153" s="273" t="s">
        <v>109</v>
      </c>
      <c r="C153" s="290">
        <f t="shared" si="3"/>
        <v>5757.7842946399978</v>
      </c>
      <c r="D153" s="290">
        <v>1000</v>
      </c>
      <c r="E153" s="290">
        <v>1363.4736073899987</v>
      </c>
      <c r="F153" s="290">
        <v>1887.6434492399994</v>
      </c>
      <c r="G153" s="290">
        <v>81.400257409999995</v>
      </c>
      <c r="H153" s="290">
        <v>0</v>
      </c>
      <c r="I153" s="311">
        <v>884.7636807099999</v>
      </c>
      <c r="J153" s="319">
        <v>540.50329988999999</v>
      </c>
    </row>
    <row r="154" spans="1:10" ht="14">
      <c r="A154" s="239"/>
      <c r="B154" s="273" t="s">
        <v>110</v>
      </c>
      <c r="C154" s="290">
        <f t="shared" si="3"/>
        <v>5717.2532006399961</v>
      </c>
      <c r="D154" s="290">
        <v>1000</v>
      </c>
      <c r="E154" s="290">
        <v>1366.772190809997</v>
      </c>
      <c r="F154" s="290">
        <v>1899.9997416399997</v>
      </c>
      <c r="G154" s="290">
        <v>25.82117908</v>
      </c>
      <c r="H154" s="290">
        <v>0</v>
      </c>
      <c r="I154" s="311">
        <v>887.88497928999982</v>
      </c>
      <c r="J154" s="319">
        <v>536.77510982000001</v>
      </c>
    </row>
    <row r="155" spans="1:10" ht="14">
      <c r="A155" s="239"/>
      <c r="B155" s="273" t="s">
        <v>117</v>
      </c>
      <c r="C155" s="290">
        <f t="shared" si="3"/>
        <v>5630.0579362500021</v>
      </c>
      <c r="D155" s="290">
        <v>1000</v>
      </c>
      <c r="E155" s="290">
        <v>1367.0751393800024</v>
      </c>
      <c r="F155" s="290">
        <v>1757.3956929100002</v>
      </c>
      <c r="G155" s="290">
        <v>72.875654330000003</v>
      </c>
      <c r="H155" s="290">
        <v>0</v>
      </c>
      <c r="I155" s="311">
        <v>880.46424834999993</v>
      </c>
      <c r="J155" s="319">
        <v>552.2472012799999</v>
      </c>
    </row>
    <row r="156" spans="1:10" ht="14">
      <c r="A156" s="239"/>
      <c r="B156" s="273" t="s">
        <v>112</v>
      </c>
      <c r="C156" s="290">
        <f t="shared" si="3"/>
        <v>5728.54688463</v>
      </c>
      <c r="D156" s="290">
        <v>1000</v>
      </c>
      <c r="E156" s="290">
        <v>1379.8847061200004</v>
      </c>
      <c r="F156" s="290">
        <v>1746.2482511200001</v>
      </c>
      <c r="G156" s="290">
        <v>163.92644598999999</v>
      </c>
      <c r="H156" s="290">
        <v>0</v>
      </c>
      <c r="I156" s="311">
        <v>884.05663114999982</v>
      </c>
      <c r="J156" s="319">
        <v>554.43085025000005</v>
      </c>
    </row>
    <row r="157" spans="1:10" ht="14">
      <c r="A157" s="239"/>
      <c r="B157" s="273" t="s">
        <v>113</v>
      </c>
      <c r="C157" s="290">
        <f t="shared" si="3"/>
        <v>5737.7800383300028</v>
      </c>
      <c r="D157" s="290">
        <v>1000</v>
      </c>
      <c r="E157" s="290">
        <v>1361.4610041600038</v>
      </c>
      <c r="F157" s="290">
        <v>1877.55709935</v>
      </c>
      <c r="G157" s="290">
        <v>67.712464329999989</v>
      </c>
      <c r="H157" s="290">
        <v>0</v>
      </c>
      <c r="I157" s="311">
        <v>883.49497579999979</v>
      </c>
      <c r="J157" s="319">
        <v>547.55449468999996</v>
      </c>
    </row>
    <row r="158" spans="1:10" ht="14">
      <c r="A158" s="239"/>
      <c r="B158" s="273" t="s">
        <v>114</v>
      </c>
      <c r="C158" s="290">
        <f t="shared" si="3"/>
        <v>5630.6473262500003</v>
      </c>
      <c r="D158" s="290">
        <v>1000</v>
      </c>
      <c r="E158" s="290">
        <v>1375.1790825600008</v>
      </c>
      <c r="F158" s="290">
        <v>1701.82176061</v>
      </c>
      <c r="G158" s="290">
        <v>95.087666130000002</v>
      </c>
      <c r="H158" s="290">
        <v>0</v>
      </c>
      <c r="I158" s="311">
        <v>884.29007080999986</v>
      </c>
      <c r="J158" s="319">
        <v>574.26874614000008</v>
      </c>
    </row>
    <row r="159" spans="1:10" ht="14">
      <c r="A159" s="239"/>
      <c r="B159" s="273" t="s">
        <v>115</v>
      </c>
      <c r="C159" s="290">
        <f t="shared" si="3"/>
        <v>5795.7056235700047</v>
      </c>
      <c r="D159" s="290">
        <v>1000</v>
      </c>
      <c r="E159" s="290">
        <v>1363.3545229300041</v>
      </c>
      <c r="F159" s="290">
        <v>1705.9374728200003</v>
      </c>
      <c r="G159" s="290">
        <v>258.11889080999998</v>
      </c>
      <c r="H159" s="290">
        <v>0</v>
      </c>
      <c r="I159" s="311">
        <v>874.00675185999978</v>
      </c>
      <c r="J159" s="319">
        <v>594.28798514999994</v>
      </c>
    </row>
    <row r="160" spans="1:10" ht="14">
      <c r="A160" s="240"/>
      <c r="B160" s="274" t="s">
        <v>116</v>
      </c>
      <c r="C160" s="293">
        <f t="shared" si="3"/>
        <v>6144.0186475500032</v>
      </c>
      <c r="D160" s="293">
        <v>1000</v>
      </c>
      <c r="E160" s="293">
        <v>1417.0319067500036</v>
      </c>
      <c r="F160" s="293">
        <v>2111.5325686699998</v>
      </c>
      <c r="G160" s="293">
        <v>100.9039058</v>
      </c>
      <c r="H160" s="293">
        <v>0</v>
      </c>
      <c r="I160" s="313">
        <v>876.66514288999974</v>
      </c>
      <c r="J160" s="322">
        <v>637.88512344000014</v>
      </c>
    </row>
    <row r="161" spans="1:10" ht="14">
      <c r="A161" s="238">
        <v>2024</v>
      </c>
      <c r="B161" s="272" t="s">
        <v>105</v>
      </c>
      <c r="C161" s="287">
        <f t="shared" si="3"/>
        <v>5887.7027523300039</v>
      </c>
      <c r="D161" s="287">
        <v>1000</v>
      </c>
      <c r="E161" s="287">
        <v>1408.379641850004</v>
      </c>
      <c r="F161" s="287">
        <v>1760.3605932899995</v>
      </c>
      <c r="G161" s="287">
        <v>211.11272815999999</v>
      </c>
      <c r="H161" s="287">
        <v>0</v>
      </c>
      <c r="I161" s="309">
        <v>877.86576279999974</v>
      </c>
      <c r="J161" s="318">
        <v>629.98402623000004</v>
      </c>
    </row>
    <row r="162" spans="1:10" ht="14">
      <c r="A162" s="239"/>
      <c r="B162" s="273" t="s">
        <v>106</v>
      </c>
      <c r="C162" s="290">
        <f t="shared" si="3"/>
        <v>5887.1304911300031</v>
      </c>
      <c r="D162" s="290">
        <v>1000</v>
      </c>
      <c r="E162" s="290">
        <v>1401.9179379900038</v>
      </c>
      <c r="F162" s="290">
        <v>1778.1030401600001</v>
      </c>
      <c r="G162" s="290">
        <v>181.37219526999999</v>
      </c>
      <c r="H162" s="290">
        <v>0</v>
      </c>
      <c r="I162" s="311">
        <v>878.75270166999974</v>
      </c>
      <c r="J162" s="319">
        <v>646.98461604000011</v>
      </c>
    </row>
    <row r="163" spans="1:10" ht="14">
      <c r="A163" s="239"/>
      <c r="B163" s="273" t="s">
        <v>107</v>
      </c>
      <c r="C163" s="290">
        <f t="shared" si="3"/>
        <v>6211.6170234100018</v>
      </c>
      <c r="D163" s="290">
        <v>1000</v>
      </c>
      <c r="E163" s="290">
        <v>1408.441071820002</v>
      </c>
      <c r="F163" s="290">
        <v>2105.1095384300006</v>
      </c>
      <c r="G163" s="290">
        <v>140.23130227999999</v>
      </c>
      <c r="H163" s="290">
        <v>0</v>
      </c>
      <c r="I163" s="311">
        <v>877.96909453999967</v>
      </c>
      <c r="J163" s="319">
        <v>679.86601633999999</v>
      </c>
    </row>
    <row r="164" spans="1:10" ht="14">
      <c r="A164" s="239"/>
      <c r="B164" s="273" t="s">
        <v>108</v>
      </c>
      <c r="C164" s="290">
        <f t="shared" si="3"/>
        <v>5891.3728206899968</v>
      </c>
      <c r="D164" s="290">
        <v>1000</v>
      </c>
      <c r="E164" s="290">
        <v>1387.465697379997</v>
      </c>
      <c r="F164" s="290">
        <v>1771.66741428</v>
      </c>
      <c r="G164" s="290">
        <v>146.78721859999999</v>
      </c>
      <c r="H164" s="290">
        <v>0</v>
      </c>
      <c r="I164" s="311">
        <v>883.14469954999993</v>
      </c>
      <c r="J164" s="319">
        <v>702.30779087999997</v>
      </c>
    </row>
    <row r="165" spans="1:10" ht="14">
      <c r="A165" s="239"/>
      <c r="B165" s="273" t="s">
        <v>109</v>
      </c>
      <c r="C165" s="290">
        <f t="shared" si="3"/>
        <v>5780.8153536899945</v>
      </c>
      <c r="D165" s="290">
        <v>1000</v>
      </c>
      <c r="E165" s="290">
        <v>1363.4389171199946</v>
      </c>
      <c r="F165" s="290">
        <v>1702.2130535500003</v>
      </c>
      <c r="G165" s="290">
        <v>108.63182225</v>
      </c>
      <c r="H165" s="290">
        <v>0</v>
      </c>
      <c r="I165" s="311">
        <v>880.06130212999994</v>
      </c>
      <c r="J165" s="319">
        <v>726.47025863999988</v>
      </c>
    </row>
    <row r="166" spans="1:10" ht="14">
      <c r="A166" s="239"/>
      <c r="B166" s="273" t="s">
        <v>110</v>
      </c>
      <c r="C166" s="290">
        <f t="shared" si="3"/>
        <v>5801.3132912199981</v>
      </c>
      <c r="D166" s="290">
        <v>1000</v>
      </c>
      <c r="E166" s="290">
        <v>1353.671081869998</v>
      </c>
      <c r="F166" s="290">
        <v>1770.1782554599997</v>
      </c>
      <c r="G166" s="290">
        <v>77.46150372999999</v>
      </c>
      <c r="H166" s="290">
        <v>0</v>
      </c>
      <c r="I166" s="311">
        <v>879.66344013000003</v>
      </c>
      <c r="J166" s="319">
        <v>720.33901003000005</v>
      </c>
    </row>
    <row r="167" spans="1:10" ht="14">
      <c r="A167" s="239"/>
      <c r="B167" s="273" t="s">
        <v>117</v>
      </c>
      <c r="C167" s="290">
        <f t="shared" si="3"/>
        <v>5904.9000861099967</v>
      </c>
      <c r="D167" s="290">
        <v>1000</v>
      </c>
      <c r="E167" s="290">
        <v>1363.9222087099972</v>
      </c>
      <c r="F167" s="290">
        <v>1627.8433329900001</v>
      </c>
      <c r="G167" s="290">
        <v>269.52200618000001</v>
      </c>
      <c r="H167" s="290">
        <v>0</v>
      </c>
      <c r="I167" s="311">
        <v>878.53471853999997</v>
      </c>
      <c r="J167" s="319">
        <v>765.07781968999996</v>
      </c>
    </row>
    <row r="168" spans="1:10" ht="14">
      <c r="A168" s="239"/>
      <c r="B168" s="273" t="s">
        <v>112</v>
      </c>
      <c r="C168" s="290">
        <f t="shared" si="3"/>
        <v>5747.6009999999997</v>
      </c>
      <c r="D168" s="290">
        <v>1000</v>
      </c>
      <c r="E168" s="290">
        <v>1361.079</v>
      </c>
      <c r="F168" s="290">
        <v>1635.6510000000001</v>
      </c>
      <c r="G168" s="290">
        <v>91.911000000000001</v>
      </c>
      <c r="H168" s="290">
        <v>0</v>
      </c>
      <c r="I168" s="311">
        <v>863.91099999999994</v>
      </c>
      <c r="J168" s="319">
        <v>795.04899999999998</v>
      </c>
    </row>
    <row r="169" spans="1:10" ht="14">
      <c r="A169" s="239"/>
      <c r="B169" s="273" t="s">
        <v>113</v>
      </c>
      <c r="C169" s="290">
        <f t="shared" si="3"/>
        <v>5761.9495497899989</v>
      </c>
      <c r="D169" s="290">
        <v>1000</v>
      </c>
      <c r="E169" s="290">
        <v>1362.4791516399987</v>
      </c>
      <c r="F169" s="290">
        <v>1643.4834672700001</v>
      </c>
      <c r="G169" s="290">
        <v>112.06703523</v>
      </c>
      <c r="H169" s="290">
        <v>0</v>
      </c>
      <c r="I169" s="311">
        <v>855.08637259999989</v>
      </c>
      <c r="J169" s="319">
        <v>788.83352305000005</v>
      </c>
    </row>
    <row r="170" spans="1:10" ht="14">
      <c r="A170" s="239"/>
      <c r="B170" s="273" t="s">
        <v>114</v>
      </c>
      <c r="C170" s="290">
        <f t="shared" si="3"/>
        <v>5926.1644930599987</v>
      </c>
      <c r="D170" s="290">
        <v>1000</v>
      </c>
      <c r="E170" s="290">
        <v>1353.7334956499976</v>
      </c>
      <c r="F170" s="290">
        <v>1682.0096736700004</v>
      </c>
      <c r="G170" s="290">
        <v>180.78210945999999</v>
      </c>
      <c r="H170" s="290">
        <v>0</v>
      </c>
      <c r="I170" s="311">
        <v>867.47816440999998</v>
      </c>
      <c r="J170" s="319">
        <v>842.16104987000017</v>
      </c>
    </row>
    <row r="171" spans="1:10" ht="14">
      <c r="A171" s="239"/>
      <c r="B171" s="273" t="s">
        <v>115</v>
      </c>
      <c r="C171" s="290">
        <f t="shared" si="3"/>
        <v>5889.9640171699984</v>
      </c>
      <c r="D171" s="290">
        <v>1000</v>
      </c>
      <c r="E171" s="290">
        <v>1356.9954279799986</v>
      </c>
      <c r="F171" s="290">
        <v>1651.92997539</v>
      </c>
      <c r="G171" s="290">
        <v>126.62532843</v>
      </c>
      <c r="H171" s="290">
        <v>0</v>
      </c>
      <c r="I171" s="311">
        <v>871.39374022999993</v>
      </c>
      <c r="J171" s="319">
        <v>883.01954514000022</v>
      </c>
    </row>
    <row r="172" spans="1:10" ht="14">
      <c r="A172" s="240"/>
      <c r="B172" s="274" t="s">
        <v>116</v>
      </c>
      <c r="C172" s="293">
        <f t="shared" si="3"/>
        <v>6101.7823503899963</v>
      </c>
      <c r="D172" s="293">
        <v>1000</v>
      </c>
      <c r="E172" s="293">
        <v>1401.4472139299976</v>
      </c>
      <c r="F172" s="293">
        <v>1713.8068991599998</v>
      </c>
      <c r="G172" s="293">
        <v>235.25711061999999</v>
      </c>
      <c r="H172" s="293">
        <v>0</v>
      </c>
      <c r="I172" s="313">
        <v>869.5344352799998</v>
      </c>
      <c r="J172" s="320">
        <v>881.73669139999993</v>
      </c>
    </row>
    <row r="173" spans="1:10" ht="14">
      <c r="A173" s="238">
        <v>2025</v>
      </c>
      <c r="B173" s="272" t="s">
        <v>105</v>
      </c>
      <c r="C173" s="287">
        <f t="shared" si="3"/>
        <v>6022.479929959999</v>
      </c>
      <c r="D173" s="287">
        <v>1000</v>
      </c>
      <c r="E173" s="287">
        <v>1437.0358022799985</v>
      </c>
      <c r="F173" s="287">
        <v>1678.3606279000003</v>
      </c>
      <c r="G173" s="287">
        <v>184.87938266999998</v>
      </c>
      <c r="H173" s="287">
        <v>0</v>
      </c>
      <c r="I173" s="309">
        <v>869.84171894999986</v>
      </c>
      <c r="J173" s="318">
        <v>852.36239816</v>
      </c>
    </row>
    <row r="174" spans="1:10" ht="14">
      <c r="A174" s="239"/>
      <c r="B174" s="273" t="s">
        <v>106</v>
      </c>
      <c r="C174" s="290">
        <f t="shared" si="3"/>
        <v>5839.0410493999989</v>
      </c>
      <c r="D174" s="290">
        <v>1000</v>
      </c>
      <c r="E174" s="290">
        <v>1391.392961699999</v>
      </c>
      <c r="F174" s="290">
        <v>1594.9915684800003</v>
      </c>
      <c r="G174" s="290">
        <v>124.33935137999998</v>
      </c>
      <c r="H174" s="290">
        <v>0</v>
      </c>
      <c r="I174" s="311">
        <v>869.30104484999993</v>
      </c>
      <c r="J174" s="319">
        <v>859.01612298999999</v>
      </c>
    </row>
    <row r="175" spans="1:10" ht="14">
      <c r="A175" s="239"/>
      <c r="B175" s="273" t="s">
        <v>107</v>
      </c>
      <c r="C175" s="290">
        <f t="shared" si="3"/>
        <v>6530.0099773799966</v>
      </c>
      <c r="D175" s="290">
        <v>1000</v>
      </c>
      <c r="E175" s="290">
        <v>1410.6864689599977</v>
      </c>
      <c r="F175" s="290">
        <v>2260.5667043799999</v>
      </c>
      <c r="G175" s="290">
        <v>76.240434140000005</v>
      </c>
      <c r="H175" s="290">
        <v>0</v>
      </c>
      <c r="I175" s="311">
        <v>875.12541686999987</v>
      </c>
      <c r="J175" s="319">
        <v>907.39095302999999</v>
      </c>
    </row>
    <row r="176" spans="1:10" ht="14">
      <c r="A176" s="239"/>
      <c r="B176" s="273" t="s">
        <v>108</v>
      </c>
      <c r="C176" s="290">
        <f t="shared" si="3"/>
        <v>5939.2277984299972</v>
      </c>
      <c r="D176" s="290">
        <v>1000</v>
      </c>
      <c r="E176" s="290">
        <v>1366.9321294499982</v>
      </c>
      <c r="F176" s="290">
        <v>1575.0243427799999</v>
      </c>
      <c r="G176" s="290">
        <v>198.70733788000001</v>
      </c>
      <c r="H176" s="290">
        <v>0</v>
      </c>
      <c r="I176" s="311">
        <v>873.01478119999979</v>
      </c>
      <c r="J176" s="319">
        <v>925.54920711999989</v>
      </c>
    </row>
    <row r="177" spans="1:10" ht="14">
      <c r="A177" s="239"/>
      <c r="B177" s="273" t="s">
        <v>109</v>
      </c>
      <c r="C177" s="290">
        <f t="shared" si="3"/>
        <v>5747.6846902300003</v>
      </c>
      <c r="D177" s="290">
        <v>1000</v>
      </c>
      <c r="E177" s="290">
        <v>1350.27572824</v>
      </c>
      <c r="F177" s="290">
        <v>1512.8632776800002</v>
      </c>
      <c r="G177" s="290">
        <v>93.64424907999998</v>
      </c>
      <c r="H177" s="290">
        <v>0</v>
      </c>
      <c r="I177" s="311">
        <v>860.57525570999996</v>
      </c>
      <c r="J177" s="319">
        <v>930.3261795200001</v>
      </c>
    </row>
    <row r="178" spans="1:10" ht="14">
      <c r="A178" s="239"/>
      <c r="B178" s="273" t="s">
        <v>110</v>
      </c>
      <c r="C178" s="290">
        <f t="shared" si="3"/>
        <v>5755.3134081000007</v>
      </c>
      <c r="D178" s="290">
        <v>1000</v>
      </c>
      <c r="E178" s="290">
        <v>1342.3623813900003</v>
      </c>
      <c r="F178" s="290">
        <v>1523.5857011000003</v>
      </c>
      <c r="G178" s="290">
        <v>85.720493959999999</v>
      </c>
      <c r="H178" s="290">
        <v>0</v>
      </c>
      <c r="I178" s="311">
        <v>862.95423565999999</v>
      </c>
      <c r="J178" s="319">
        <v>940.69059598999991</v>
      </c>
    </row>
    <row r="179" spans="1:10" ht="14">
      <c r="A179" s="239"/>
      <c r="B179" s="273" t="s">
        <v>117</v>
      </c>
      <c r="C179" s="290">
        <f t="shared" si="3"/>
        <v>5814.4752974499997</v>
      </c>
      <c r="D179" s="290">
        <v>1000</v>
      </c>
      <c r="E179" s="290">
        <v>1348.6940039800004</v>
      </c>
      <c r="F179" s="290">
        <v>1461.4896884899999</v>
      </c>
      <c r="G179" s="290">
        <v>170.36129232999997</v>
      </c>
      <c r="H179" s="290">
        <v>0</v>
      </c>
      <c r="I179" s="311">
        <v>863.57035149000001</v>
      </c>
      <c r="J179" s="319">
        <v>970.35996116000013</v>
      </c>
    </row>
    <row r="180" spans="1:10" ht="14">
      <c r="A180" s="239"/>
      <c r="B180" s="273" t="s">
        <v>112</v>
      </c>
      <c r="C180" s="290">
        <f t="shared" si="3"/>
        <v>5829.4728316500004</v>
      </c>
      <c r="D180" s="290">
        <v>1000</v>
      </c>
      <c r="E180" s="290">
        <v>1355.3536115700003</v>
      </c>
      <c r="F180" s="290">
        <v>1494.9555533600003</v>
      </c>
      <c r="G180" s="290">
        <v>130.51222780000001</v>
      </c>
      <c r="H180" s="290">
        <v>0</v>
      </c>
      <c r="I180" s="311">
        <v>864.77484300000003</v>
      </c>
      <c r="J180" s="319">
        <v>983.87659592000011</v>
      </c>
    </row>
    <row r="181" spans="1:10" ht="14">
      <c r="A181" s="239"/>
      <c r="B181" s="273" t="s">
        <v>113</v>
      </c>
      <c r="C181" s="290">
        <f t="shared" si="3"/>
        <v>6199.9372186500004</v>
      </c>
      <c r="D181" s="290">
        <v>1000</v>
      </c>
      <c r="E181" s="290">
        <v>1339.6084309400003</v>
      </c>
      <c r="F181" s="290">
        <v>1734.5103440399998</v>
      </c>
      <c r="G181" s="290">
        <v>160.32730299000002</v>
      </c>
      <c r="H181" s="290">
        <v>0</v>
      </c>
      <c r="I181" s="311">
        <v>871.51252513999998</v>
      </c>
      <c r="J181" s="319">
        <v>1093.9786155400002</v>
      </c>
    </row>
    <row r="182" spans="1:10" ht="14">
      <c r="A182" s="239"/>
      <c r="B182" s="273" t="s">
        <v>114</v>
      </c>
      <c r="C182" s="290">
        <f t="shared" si="3"/>
        <v>5989.9352470599979</v>
      </c>
      <c r="D182" s="290">
        <v>1000</v>
      </c>
      <c r="E182" s="290">
        <v>1349.4497524099982</v>
      </c>
      <c r="F182" s="290">
        <v>1523.1575178999999</v>
      </c>
      <c r="G182" s="290">
        <v>112.57243312999999</v>
      </c>
      <c r="H182" s="290">
        <v>0</v>
      </c>
      <c r="I182" s="311">
        <v>869.40083462999996</v>
      </c>
      <c r="J182" s="319">
        <v>1135.3547089900001</v>
      </c>
    </row>
    <row r="183" spans="1:10" ht="14">
      <c r="A183" s="239"/>
      <c r="B183" s="273" t="s">
        <v>115</v>
      </c>
      <c r="C183" s="290">
        <f t="shared" si="3"/>
        <v>6071.0665303599972</v>
      </c>
      <c r="D183" s="290">
        <v>1000</v>
      </c>
      <c r="E183" s="290">
        <v>1341.6728368599981</v>
      </c>
      <c r="F183" s="290">
        <v>1549.1120603099996</v>
      </c>
      <c r="G183" s="290">
        <v>117.60300588999999</v>
      </c>
      <c r="H183" s="290">
        <v>0</v>
      </c>
      <c r="I183" s="311">
        <v>869.71109686</v>
      </c>
      <c r="J183" s="687">
        <v>1192.96753044</v>
      </c>
    </row>
    <row r="184" spans="1:10" ht="14">
      <c r="A184" s="240"/>
      <c r="B184" s="274" t="s">
        <v>116</v>
      </c>
      <c r="C184" s="293">
        <f t="shared" si="3"/>
        <v>6841.1980471499974</v>
      </c>
      <c r="D184" s="293">
        <v>1000</v>
      </c>
      <c r="E184" s="293">
        <v>1385.5812570499988</v>
      </c>
      <c r="F184" s="293">
        <v>2141.6560805299996</v>
      </c>
      <c r="G184" s="293">
        <v>218.14581551000003</v>
      </c>
      <c r="H184" s="293">
        <v>0</v>
      </c>
      <c r="I184" s="313">
        <v>865.72380640999995</v>
      </c>
      <c r="J184" s="688">
        <v>1230.0910876499997</v>
      </c>
    </row>
    <row r="185" spans="1:10" ht="14">
      <c r="A185" s="238">
        <v>2026</v>
      </c>
      <c r="B185" s="272" t="s">
        <v>105</v>
      </c>
      <c r="C185" s="287">
        <f t="shared" si="3"/>
        <v>6180.8895247099999</v>
      </c>
      <c r="D185" s="287">
        <v>1000</v>
      </c>
      <c r="E185" s="287">
        <v>1365.6292098000001</v>
      </c>
      <c r="F185" s="287">
        <v>1616.4834855499998</v>
      </c>
      <c r="G185" s="287">
        <v>69.53544823</v>
      </c>
      <c r="H185" s="287">
        <v>0</v>
      </c>
      <c r="I185" s="309">
        <v>861.84080090999998</v>
      </c>
      <c r="J185" s="318">
        <v>1267.4005802199999</v>
      </c>
    </row>
    <row r="186" spans="1:10" ht="14">
      <c r="A186" s="239"/>
      <c r="B186" s="273" t="s">
        <v>106</v>
      </c>
      <c r="C186" s="290">
        <f t="shared" si="3"/>
        <v>6304.4778984600025</v>
      </c>
      <c r="D186" s="290">
        <v>1000</v>
      </c>
      <c r="E186" s="290">
        <v>1403.4244901700019</v>
      </c>
      <c r="F186" s="290">
        <v>1658.5417512600002</v>
      </c>
      <c r="G186" s="290">
        <v>95.625757669999999</v>
      </c>
      <c r="H186" s="290">
        <v>0</v>
      </c>
      <c r="I186" s="311">
        <v>855.17698304999999</v>
      </c>
      <c r="J186" s="319">
        <v>1291.7089163099999</v>
      </c>
    </row>
    <row r="187" spans="1:10" ht="14">
      <c r="A187" s="240"/>
      <c r="B187" s="274" t="s">
        <v>107</v>
      </c>
      <c r="C187" s="293">
        <f t="shared" si="3"/>
        <v>6249.0907930699968</v>
      </c>
      <c r="D187" s="293">
        <v>1000</v>
      </c>
      <c r="E187" s="293">
        <v>1427.7561817199974</v>
      </c>
      <c r="F187" s="293">
        <v>1619.8212786999998</v>
      </c>
      <c r="G187" s="293">
        <v>141.65678749</v>
      </c>
      <c r="H187" s="293">
        <v>0</v>
      </c>
      <c r="I187" s="313">
        <v>862.24233321999986</v>
      </c>
      <c r="J187" s="320">
        <v>1197.6142119400001</v>
      </c>
    </row>
    <row r="188" spans="1:10">
      <c r="E188" s="72"/>
      <c r="F188" s="71"/>
      <c r="G188" s="71"/>
      <c r="I188" s="71"/>
      <c r="J188" s="74"/>
    </row>
    <row r="189" spans="1:10">
      <c r="A189" s="171" t="s">
        <v>167</v>
      </c>
      <c r="B189" s="161"/>
      <c r="C189" s="161"/>
      <c r="D189" s="161"/>
      <c r="E189" s="71"/>
      <c r="F189" s="73"/>
      <c r="G189" s="73"/>
      <c r="H189" s="78"/>
      <c r="I189" s="73"/>
      <c r="J189" s="74"/>
    </row>
    <row r="190" spans="1:10">
      <c r="A190" s="161"/>
      <c r="B190" s="161"/>
      <c r="C190" s="166"/>
      <c r="D190" s="161"/>
      <c r="E190" s="73"/>
      <c r="F190" s="73"/>
      <c r="G190" s="73"/>
      <c r="H190" s="78"/>
      <c r="I190" s="73"/>
      <c r="J190" s="74"/>
    </row>
    <row r="191" spans="1:10">
      <c r="A191" s="161" t="s">
        <v>119</v>
      </c>
      <c r="B191" s="161"/>
      <c r="C191" s="166"/>
      <c r="D191" s="172"/>
      <c r="E191" s="73"/>
      <c r="F191" s="73"/>
      <c r="G191" s="73"/>
      <c r="H191" s="78"/>
      <c r="I191" s="73"/>
      <c r="J191" s="74"/>
    </row>
    <row r="192" spans="1:10">
      <c r="A192" s="161" t="s">
        <v>120</v>
      </c>
      <c r="B192" s="161"/>
      <c r="C192" s="166"/>
      <c r="D192" s="172"/>
      <c r="E192" s="73"/>
      <c r="F192" s="73"/>
      <c r="G192" s="73"/>
      <c r="H192" s="78"/>
      <c r="I192" s="73"/>
      <c r="J192" s="74"/>
    </row>
    <row r="193" spans="1:10">
      <c r="A193" s="168" t="s">
        <v>168</v>
      </c>
      <c r="B193" s="169"/>
      <c r="C193" s="166"/>
      <c r="D193" s="172"/>
      <c r="E193" s="73"/>
      <c r="F193" s="73"/>
      <c r="G193" s="73"/>
      <c r="H193" s="73"/>
      <c r="I193" s="73"/>
      <c r="J193" s="74"/>
    </row>
    <row r="194" spans="1:10">
      <c r="D194" s="71"/>
      <c r="E194" s="71"/>
      <c r="F194" s="73"/>
      <c r="G194" s="73"/>
      <c r="H194" s="71"/>
      <c r="I194" s="73"/>
      <c r="J194" s="80"/>
    </row>
    <row r="195" spans="1:10">
      <c r="D195" s="71"/>
      <c r="E195" s="71"/>
      <c r="F195" s="73"/>
      <c r="G195" s="73"/>
      <c r="H195" s="71"/>
      <c r="I195" s="73"/>
    </row>
    <row r="196" spans="1:10">
      <c r="E196" s="71"/>
      <c r="F196" s="73"/>
      <c r="G196" s="73"/>
      <c r="H196" s="71"/>
      <c r="I196" s="73"/>
    </row>
    <row r="197" spans="1:10">
      <c r="E197" s="71"/>
      <c r="F197" s="73"/>
      <c r="G197" s="73"/>
      <c r="H197" s="71"/>
      <c r="I197" s="73"/>
    </row>
    <row r="198" spans="1:10">
      <c r="E198" s="71"/>
      <c r="F198" s="73"/>
      <c r="G198" s="73"/>
      <c r="H198" s="71"/>
      <c r="I198" s="73"/>
    </row>
    <row r="199" spans="1:10">
      <c r="E199" s="71"/>
      <c r="F199" s="73"/>
      <c r="G199" s="73"/>
      <c r="H199" s="71"/>
      <c r="I199" s="73"/>
    </row>
    <row r="200" spans="1:10">
      <c r="D200" s="71"/>
      <c r="E200" s="71"/>
      <c r="F200" s="73"/>
      <c r="G200" s="73"/>
      <c r="H200" s="71"/>
      <c r="I200" s="73"/>
    </row>
    <row r="201" spans="1:10">
      <c r="D201" s="71"/>
      <c r="E201" s="71"/>
      <c r="F201" s="73"/>
      <c r="G201" s="73"/>
      <c r="H201" s="71"/>
      <c r="I201" s="73"/>
    </row>
    <row r="202" spans="1:10">
      <c r="D202" s="71"/>
      <c r="E202" s="71"/>
      <c r="F202" s="71"/>
      <c r="G202" s="71"/>
      <c r="H202" s="71"/>
      <c r="I202" s="71"/>
    </row>
    <row r="203" spans="1:10">
      <c r="I203" s="71"/>
    </row>
  </sheetData>
  <sheetProtection sheet="1" formatCells="0" insertColumns="0" insertRows="0" deleteColumns="0" deleteRows="0"/>
  <mergeCells count="11">
    <mergeCell ref="A1:H1"/>
    <mergeCell ref="A2:J2"/>
    <mergeCell ref="A3:B4"/>
    <mergeCell ref="D3:D4"/>
    <mergeCell ref="E3:E4"/>
    <mergeCell ref="F3:F4"/>
    <mergeCell ref="G3:G4"/>
    <mergeCell ref="H3:H4"/>
    <mergeCell ref="I3:I4"/>
    <mergeCell ref="J3:J4"/>
    <mergeCell ref="C3:C4"/>
  </mergeCells>
  <printOptions horizontalCentered="1"/>
  <pageMargins left="0.7" right="0.53" top="0.98" bottom="0.75" header="0.3" footer="0.3"/>
  <pageSetup paperSize="9" orientation="landscape" r:id="rId1"/>
  <ignoredErrors>
    <ignoredError sqref="C113:C11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91"/>
  <sheetViews>
    <sheetView zoomScaleNormal="100" workbookViewId="0">
      <pane xSplit="2" ySplit="4" topLeftCell="C179" activePane="bottomRight" state="frozen"/>
      <selection pane="topRight" activeCell="G159" sqref="G159"/>
      <selection pane="bottomLeft" activeCell="G159" sqref="G159"/>
      <selection pane="bottomRight" sqref="A1:G1"/>
    </sheetView>
  </sheetViews>
  <sheetFormatPr defaultColWidth="9.1796875" defaultRowHeight="13"/>
  <cols>
    <col min="1" max="1" width="7.81640625" style="65" customWidth="1"/>
    <col min="2" max="2" width="6.81640625" style="65" customWidth="1"/>
    <col min="3" max="8" width="15.81640625" style="65" customWidth="1"/>
    <col min="9" max="16384" width="9.1796875" style="65"/>
  </cols>
  <sheetData>
    <row r="1" spans="1:8" ht="19.5" customHeight="1">
      <c r="A1" s="709" t="s">
        <v>174</v>
      </c>
      <c r="B1" s="709"/>
      <c r="C1" s="709"/>
      <c r="D1" s="709"/>
      <c r="E1" s="709"/>
      <c r="F1" s="709"/>
      <c r="G1" s="709"/>
    </row>
    <row r="2" spans="1:8" ht="12.75" customHeight="1">
      <c r="A2" s="760" t="s">
        <v>97</v>
      </c>
      <c r="B2" s="760"/>
      <c r="C2" s="760"/>
      <c r="D2" s="760"/>
      <c r="E2" s="760"/>
      <c r="F2" s="760"/>
      <c r="G2" s="760"/>
      <c r="H2" s="760"/>
    </row>
    <row r="3" spans="1:8" s="68" customFormat="1" ht="22.5" customHeight="1">
      <c r="A3" s="717" t="s">
        <v>98</v>
      </c>
      <c r="B3" s="718"/>
      <c r="C3" s="762" t="s">
        <v>175</v>
      </c>
      <c r="D3" s="763"/>
      <c r="E3" s="764"/>
      <c r="F3" s="764"/>
      <c r="G3" s="764"/>
      <c r="H3" s="753" t="s">
        <v>176</v>
      </c>
    </row>
    <row r="4" spans="1:8" s="68" customFormat="1" ht="22.5" customHeight="1">
      <c r="A4" s="751"/>
      <c r="B4" s="752"/>
      <c r="C4" s="323" t="s">
        <v>102</v>
      </c>
      <c r="D4" s="324" t="s">
        <v>177</v>
      </c>
      <c r="E4" s="325" t="s">
        <v>178</v>
      </c>
      <c r="F4" s="325" t="s">
        <v>179</v>
      </c>
      <c r="G4" s="325" t="s">
        <v>180</v>
      </c>
      <c r="H4" s="754"/>
    </row>
    <row r="5" spans="1:8" ht="14">
      <c r="A5" s="238">
        <v>2011</v>
      </c>
      <c r="B5" s="272" t="s">
        <v>105</v>
      </c>
      <c r="C5" s="326" t="s">
        <v>181</v>
      </c>
      <c r="D5" s="326" t="s">
        <v>181</v>
      </c>
      <c r="E5" s="326" t="s">
        <v>181</v>
      </c>
      <c r="F5" s="326" t="s">
        <v>181</v>
      </c>
      <c r="G5" s="326" t="s">
        <v>181</v>
      </c>
      <c r="H5" s="308">
        <f>70+65</f>
        <v>135</v>
      </c>
    </row>
    <row r="6" spans="1:8" ht="14">
      <c r="A6" s="239"/>
      <c r="B6" s="273" t="s">
        <v>106</v>
      </c>
      <c r="C6" s="326" t="s">
        <v>181</v>
      </c>
      <c r="D6" s="326" t="s">
        <v>181</v>
      </c>
      <c r="E6" s="326" t="s">
        <v>181</v>
      </c>
      <c r="F6" s="326" t="s">
        <v>181</v>
      </c>
      <c r="G6" s="326" t="s">
        <v>181</v>
      </c>
      <c r="H6" s="296">
        <f>35+65</f>
        <v>100</v>
      </c>
    </row>
    <row r="7" spans="1:8" ht="14">
      <c r="A7" s="239"/>
      <c r="B7" s="273" t="s">
        <v>107</v>
      </c>
      <c r="C7" s="326" t="s">
        <v>181</v>
      </c>
      <c r="D7" s="326" t="s">
        <v>181</v>
      </c>
      <c r="E7" s="326" t="s">
        <v>181</v>
      </c>
      <c r="F7" s="326" t="s">
        <v>181</v>
      </c>
      <c r="G7" s="326" t="s">
        <v>181</v>
      </c>
      <c r="H7" s="296">
        <f>65+65</f>
        <v>130</v>
      </c>
    </row>
    <row r="8" spans="1:8" ht="14">
      <c r="A8" s="239"/>
      <c r="B8" s="273" t="s">
        <v>108</v>
      </c>
      <c r="C8" s="327">
        <v>72</v>
      </c>
      <c r="D8" s="328">
        <v>72</v>
      </c>
      <c r="E8" s="326" t="s">
        <v>181</v>
      </c>
      <c r="F8" s="326" t="s">
        <v>181</v>
      </c>
      <c r="G8" s="326" t="s">
        <v>181</v>
      </c>
      <c r="H8" s="296">
        <f>72+65</f>
        <v>137</v>
      </c>
    </row>
    <row r="9" spans="1:8" ht="14">
      <c r="A9" s="239"/>
      <c r="B9" s="273" t="s">
        <v>109</v>
      </c>
      <c r="C9" s="327">
        <v>85</v>
      </c>
      <c r="D9" s="328">
        <v>85</v>
      </c>
      <c r="E9" s="326" t="s">
        <v>181</v>
      </c>
      <c r="F9" s="326" t="s">
        <v>181</v>
      </c>
      <c r="G9" s="326" t="s">
        <v>181</v>
      </c>
      <c r="H9" s="296">
        <f>157+65</f>
        <v>222</v>
      </c>
    </row>
    <row r="10" spans="1:8" ht="14">
      <c r="A10" s="239"/>
      <c r="B10" s="273" t="s">
        <v>110</v>
      </c>
      <c r="C10" s="327">
        <v>82</v>
      </c>
      <c r="D10" s="328">
        <v>82</v>
      </c>
      <c r="E10" s="326" t="s">
        <v>181</v>
      </c>
      <c r="F10" s="326" t="s">
        <v>181</v>
      </c>
      <c r="G10" s="326" t="s">
        <v>181</v>
      </c>
      <c r="H10" s="296">
        <f>239+65</f>
        <v>304</v>
      </c>
    </row>
    <row r="11" spans="1:8" ht="14">
      <c r="A11" s="239"/>
      <c r="B11" s="273" t="s">
        <v>111</v>
      </c>
      <c r="C11" s="327">
        <v>71</v>
      </c>
      <c r="D11" s="328">
        <v>71</v>
      </c>
      <c r="E11" s="326" t="s">
        <v>181</v>
      </c>
      <c r="F11" s="326" t="s">
        <v>181</v>
      </c>
      <c r="G11" s="326" t="s">
        <v>181</v>
      </c>
      <c r="H11" s="296">
        <f>238+65</f>
        <v>303</v>
      </c>
    </row>
    <row r="12" spans="1:8" ht="14">
      <c r="A12" s="239"/>
      <c r="B12" s="273" t="s">
        <v>112</v>
      </c>
      <c r="C12" s="327">
        <v>181</v>
      </c>
      <c r="D12" s="328">
        <v>85</v>
      </c>
      <c r="E12" s="326" t="s">
        <v>181</v>
      </c>
      <c r="F12" s="326" t="s">
        <v>181</v>
      </c>
      <c r="G12" s="290">
        <v>96</v>
      </c>
      <c r="H12" s="296">
        <f>238+96</f>
        <v>334</v>
      </c>
    </row>
    <row r="13" spans="1:8" ht="14">
      <c r="A13" s="239"/>
      <c r="B13" s="273" t="s">
        <v>113</v>
      </c>
      <c r="C13" s="327">
        <v>100</v>
      </c>
      <c r="D13" s="328">
        <v>100</v>
      </c>
      <c r="E13" s="326" t="s">
        <v>181</v>
      </c>
      <c r="F13" s="326" t="s">
        <v>181</v>
      </c>
      <c r="G13" s="326" t="s">
        <v>181</v>
      </c>
      <c r="H13" s="296">
        <f>256+96</f>
        <v>352</v>
      </c>
    </row>
    <row r="14" spans="1:8" ht="14">
      <c r="A14" s="239"/>
      <c r="B14" s="273" t="s">
        <v>114</v>
      </c>
      <c r="C14" s="327">
        <v>100</v>
      </c>
      <c r="D14" s="328">
        <v>100</v>
      </c>
      <c r="E14" s="326" t="s">
        <v>181</v>
      </c>
      <c r="F14" s="326" t="s">
        <v>181</v>
      </c>
      <c r="G14" s="326" t="s">
        <v>181</v>
      </c>
      <c r="H14" s="296">
        <f>285+96</f>
        <v>381</v>
      </c>
    </row>
    <row r="15" spans="1:8" ht="14">
      <c r="A15" s="239"/>
      <c r="B15" s="273" t="s">
        <v>115</v>
      </c>
      <c r="C15" s="327">
        <v>200</v>
      </c>
      <c r="D15" s="328">
        <v>200</v>
      </c>
      <c r="E15" s="326" t="s">
        <v>181</v>
      </c>
      <c r="F15" s="326" t="s">
        <v>181</v>
      </c>
      <c r="G15" s="326" t="s">
        <v>181</v>
      </c>
      <c r="H15" s="296">
        <f>400+96</f>
        <v>496</v>
      </c>
    </row>
    <row r="16" spans="1:8" ht="14">
      <c r="A16" s="240"/>
      <c r="B16" s="274" t="s">
        <v>116</v>
      </c>
      <c r="C16" s="329">
        <v>100</v>
      </c>
      <c r="D16" s="330">
        <v>100</v>
      </c>
      <c r="E16" s="331" t="s">
        <v>181</v>
      </c>
      <c r="F16" s="331" t="s">
        <v>181</v>
      </c>
      <c r="G16" s="331" t="s">
        <v>181</v>
      </c>
      <c r="H16" s="298">
        <f>400+96</f>
        <v>496</v>
      </c>
    </row>
    <row r="17" spans="1:8" ht="14">
      <c r="A17" s="239">
        <v>2012</v>
      </c>
      <c r="B17" s="273" t="s">
        <v>105</v>
      </c>
      <c r="C17" s="326" t="s">
        <v>181</v>
      </c>
      <c r="D17" s="326" t="s">
        <v>181</v>
      </c>
      <c r="E17" s="326" t="s">
        <v>181</v>
      </c>
      <c r="F17" s="326" t="s">
        <v>181</v>
      </c>
      <c r="G17" s="326" t="s">
        <v>181</v>
      </c>
      <c r="H17" s="296">
        <f>300+96</f>
        <v>396</v>
      </c>
    </row>
    <row r="18" spans="1:8" ht="14">
      <c r="A18" s="239"/>
      <c r="B18" s="273" t="s">
        <v>106</v>
      </c>
      <c r="C18" s="326" t="s">
        <v>181</v>
      </c>
      <c r="D18" s="326" t="s">
        <v>181</v>
      </c>
      <c r="E18" s="326" t="s">
        <v>181</v>
      </c>
      <c r="F18" s="326" t="s">
        <v>181</v>
      </c>
      <c r="G18" s="326" t="s">
        <v>181</v>
      </c>
      <c r="H18" s="296">
        <f>100+96</f>
        <v>196</v>
      </c>
    </row>
    <row r="19" spans="1:8" ht="14">
      <c r="A19" s="239"/>
      <c r="B19" s="273" t="s">
        <v>107</v>
      </c>
      <c r="C19" s="327">
        <v>200</v>
      </c>
      <c r="D19" s="328">
        <v>200</v>
      </c>
      <c r="E19" s="326" t="s">
        <v>181</v>
      </c>
      <c r="F19" s="326" t="s">
        <v>181</v>
      </c>
      <c r="G19" s="326" t="s">
        <v>181</v>
      </c>
      <c r="H19" s="296">
        <f>200+96</f>
        <v>296</v>
      </c>
    </row>
    <row r="20" spans="1:8" ht="14">
      <c r="A20" s="239"/>
      <c r="B20" s="273" t="s">
        <v>108</v>
      </c>
      <c r="C20" s="327">
        <v>200</v>
      </c>
      <c r="D20" s="328">
        <v>200</v>
      </c>
      <c r="E20" s="326" t="s">
        <v>181</v>
      </c>
      <c r="F20" s="326" t="s">
        <v>181</v>
      </c>
      <c r="G20" s="326" t="s">
        <v>181</v>
      </c>
      <c r="H20" s="296">
        <f>400+96</f>
        <v>496</v>
      </c>
    </row>
    <row r="21" spans="1:8" ht="14">
      <c r="A21" s="239"/>
      <c r="B21" s="273" t="s">
        <v>109</v>
      </c>
      <c r="C21" s="327">
        <v>100</v>
      </c>
      <c r="D21" s="328">
        <v>100</v>
      </c>
      <c r="E21" s="326" t="s">
        <v>181</v>
      </c>
      <c r="F21" s="326" t="s">
        <v>181</v>
      </c>
      <c r="G21" s="326" t="s">
        <v>181</v>
      </c>
      <c r="H21" s="296">
        <f>500+96</f>
        <v>596</v>
      </c>
    </row>
    <row r="22" spans="1:8" ht="14">
      <c r="A22" s="239"/>
      <c r="B22" s="273" t="s">
        <v>110</v>
      </c>
      <c r="C22" s="327">
        <v>200</v>
      </c>
      <c r="D22" s="328">
        <v>200</v>
      </c>
      <c r="E22" s="326" t="s">
        <v>181</v>
      </c>
      <c r="F22" s="326" t="s">
        <v>181</v>
      </c>
      <c r="G22" s="326" t="s">
        <v>181</v>
      </c>
      <c r="H22" s="296">
        <f>500+96</f>
        <v>596</v>
      </c>
    </row>
    <row r="23" spans="1:8" ht="14">
      <c r="A23" s="239"/>
      <c r="B23" s="273" t="s">
        <v>111</v>
      </c>
      <c r="C23" s="327">
        <v>100</v>
      </c>
      <c r="D23" s="328">
        <v>100</v>
      </c>
      <c r="E23" s="326" t="s">
        <v>181</v>
      </c>
      <c r="F23" s="326" t="s">
        <v>181</v>
      </c>
      <c r="G23" s="326" t="s">
        <v>181</v>
      </c>
      <c r="H23" s="296">
        <f>400+96</f>
        <v>496</v>
      </c>
    </row>
    <row r="24" spans="1:8" ht="14">
      <c r="A24" s="239"/>
      <c r="B24" s="273" t="s">
        <v>112</v>
      </c>
      <c r="C24" s="327">
        <v>200</v>
      </c>
      <c r="D24" s="328">
        <v>100</v>
      </c>
      <c r="E24" s="326" t="s">
        <v>181</v>
      </c>
      <c r="F24" s="326" t="s">
        <v>181</v>
      </c>
      <c r="G24" s="290">
        <v>100</v>
      </c>
      <c r="H24" s="296">
        <f>400+100</f>
        <v>500</v>
      </c>
    </row>
    <row r="25" spans="1:8" ht="14">
      <c r="A25" s="239"/>
      <c r="B25" s="273" t="s">
        <v>113</v>
      </c>
      <c r="C25" s="327">
        <v>100</v>
      </c>
      <c r="D25" s="328">
        <v>100</v>
      </c>
      <c r="E25" s="326" t="s">
        <v>181</v>
      </c>
      <c r="F25" s="326" t="s">
        <v>181</v>
      </c>
      <c r="G25" s="326" t="s">
        <v>181</v>
      </c>
      <c r="H25" s="296">
        <f>300+100</f>
        <v>400</v>
      </c>
    </row>
    <row r="26" spans="1:8" ht="14">
      <c r="A26" s="239"/>
      <c r="B26" s="273" t="s">
        <v>114</v>
      </c>
      <c r="C26" s="327">
        <v>100</v>
      </c>
      <c r="D26" s="328">
        <v>100</v>
      </c>
      <c r="E26" s="326" t="s">
        <v>181</v>
      </c>
      <c r="F26" s="326" t="s">
        <v>181</v>
      </c>
      <c r="G26" s="326" t="s">
        <v>181</v>
      </c>
      <c r="H26" s="296">
        <f>300+100</f>
        <v>400</v>
      </c>
    </row>
    <row r="27" spans="1:8" ht="14">
      <c r="A27" s="239"/>
      <c r="B27" s="273" t="s">
        <v>115</v>
      </c>
      <c r="C27" s="327">
        <v>200</v>
      </c>
      <c r="D27" s="328">
        <v>200</v>
      </c>
      <c r="E27" s="326" t="s">
        <v>181</v>
      </c>
      <c r="F27" s="326" t="s">
        <v>181</v>
      </c>
      <c r="G27" s="326" t="s">
        <v>181</v>
      </c>
      <c r="H27" s="296">
        <f>400+100</f>
        <v>500</v>
      </c>
    </row>
    <row r="28" spans="1:8" ht="14">
      <c r="A28" s="239"/>
      <c r="B28" s="273" t="s">
        <v>116</v>
      </c>
      <c r="C28" s="327">
        <v>100</v>
      </c>
      <c r="D28" s="328">
        <v>100</v>
      </c>
      <c r="E28" s="331" t="s">
        <v>181</v>
      </c>
      <c r="F28" s="331" t="s">
        <v>181</v>
      </c>
      <c r="G28" s="331" t="s">
        <v>181</v>
      </c>
      <c r="H28" s="296">
        <f>400+100</f>
        <v>500</v>
      </c>
    </row>
    <row r="29" spans="1:8" ht="14">
      <c r="A29" s="238">
        <v>2013</v>
      </c>
      <c r="B29" s="272" t="s">
        <v>105</v>
      </c>
      <c r="C29" s="332" t="s">
        <v>181</v>
      </c>
      <c r="D29" s="333" t="s">
        <v>181</v>
      </c>
      <c r="E29" s="327" t="s">
        <v>181</v>
      </c>
      <c r="F29" s="333" t="s">
        <v>181</v>
      </c>
      <c r="G29" s="287" t="s">
        <v>181</v>
      </c>
      <c r="H29" s="308">
        <f>300+100</f>
        <v>400</v>
      </c>
    </row>
    <row r="30" spans="1:8" ht="14">
      <c r="A30" s="239"/>
      <c r="B30" s="273" t="s">
        <v>106</v>
      </c>
      <c r="C30" s="327">
        <v>100</v>
      </c>
      <c r="D30" s="328">
        <v>100</v>
      </c>
      <c r="E30" s="326" t="s">
        <v>181</v>
      </c>
      <c r="F30" s="326" t="s">
        <v>181</v>
      </c>
      <c r="G30" s="326" t="s">
        <v>181</v>
      </c>
      <c r="H30" s="296">
        <f>200+100</f>
        <v>300</v>
      </c>
    </row>
    <row r="31" spans="1:8" ht="14">
      <c r="A31" s="239"/>
      <c r="B31" s="273" t="s">
        <v>107</v>
      </c>
      <c r="C31" s="327">
        <v>200</v>
      </c>
      <c r="D31" s="328">
        <v>200</v>
      </c>
      <c r="E31" s="326" t="s">
        <v>181</v>
      </c>
      <c r="F31" s="326" t="s">
        <v>181</v>
      </c>
      <c r="G31" s="326" t="s">
        <v>181</v>
      </c>
      <c r="H31" s="296">
        <f>300+100</f>
        <v>400</v>
      </c>
    </row>
    <row r="32" spans="1:8" ht="14">
      <c r="A32" s="239"/>
      <c r="B32" s="273" t="s">
        <v>108</v>
      </c>
      <c r="C32" s="327">
        <v>96</v>
      </c>
      <c r="D32" s="328">
        <v>96</v>
      </c>
      <c r="E32" s="326" t="s">
        <v>181</v>
      </c>
      <c r="F32" s="326" t="s">
        <v>181</v>
      </c>
      <c r="G32" s="326" t="s">
        <v>181</v>
      </c>
      <c r="H32" s="296">
        <f>396+100</f>
        <v>496</v>
      </c>
    </row>
    <row r="33" spans="1:8" ht="14">
      <c r="A33" s="239"/>
      <c r="B33" s="273" t="s">
        <v>109</v>
      </c>
      <c r="C33" s="327">
        <v>183</v>
      </c>
      <c r="D33" s="328">
        <v>183</v>
      </c>
      <c r="E33" s="326" t="s">
        <v>181</v>
      </c>
      <c r="F33" s="326" t="s">
        <v>181</v>
      </c>
      <c r="G33" s="326" t="s">
        <v>181</v>
      </c>
      <c r="H33" s="296">
        <f>479+100</f>
        <v>579</v>
      </c>
    </row>
    <row r="34" spans="1:8" ht="14">
      <c r="A34" s="239"/>
      <c r="B34" s="273" t="s">
        <v>110</v>
      </c>
      <c r="C34" s="327">
        <v>200</v>
      </c>
      <c r="D34" s="328">
        <v>200</v>
      </c>
      <c r="E34" s="326" t="s">
        <v>181</v>
      </c>
      <c r="F34" s="326" t="s">
        <v>181</v>
      </c>
      <c r="G34" s="326" t="s">
        <v>181</v>
      </c>
      <c r="H34" s="296">
        <f>479+100</f>
        <v>579</v>
      </c>
    </row>
    <row r="35" spans="1:8" ht="14">
      <c r="A35" s="239"/>
      <c r="B35" s="273" t="s">
        <v>117</v>
      </c>
      <c r="C35" s="327">
        <v>100</v>
      </c>
      <c r="D35" s="326" t="s">
        <v>181</v>
      </c>
      <c r="E35" s="326" t="s">
        <v>181</v>
      </c>
      <c r="F35" s="326" t="s">
        <v>181</v>
      </c>
      <c r="G35" s="290">
        <v>100</v>
      </c>
      <c r="H35" s="296">
        <f>383+100</f>
        <v>483</v>
      </c>
    </row>
    <row r="36" spans="1:8" ht="14">
      <c r="A36" s="239"/>
      <c r="B36" s="273" t="s">
        <v>112</v>
      </c>
      <c r="C36" s="327">
        <v>200</v>
      </c>
      <c r="D36" s="328">
        <v>200</v>
      </c>
      <c r="E36" s="326" t="s">
        <v>181</v>
      </c>
      <c r="F36" s="326" t="s">
        <v>181</v>
      </c>
      <c r="G36" s="326" t="s">
        <v>181</v>
      </c>
      <c r="H36" s="296">
        <f>400+100</f>
        <v>500</v>
      </c>
    </row>
    <row r="37" spans="1:8" ht="14">
      <c r="A37" s="239"/>
      <c r="B37" s="273" t="s">
        <v>113</v>
      </c>
      <c r="C37" s="327">
        <v>100</v>
      </c>
      <c r="D37" s="328">
        <v>100</v>
      </c>
      <c r="E37" s="326" t="s">
        <v>181</v>
      </c>
      <c r="F37" s="326" t="s">
        <v>181</v>
      </c>
      <c r="G37" s="326" t="s">
        <v>181</v>
      </c>
      <c r="H37" s="296">
        <f>300+100</f>
        <v>400</v>
      </c>
    </row>
    <row r="38" spans="1:8" ht="14">
      <c r="A38" s="239"/>
      <c r="B38" s="273" t="s">
        <v>114</v>
      </c>
      <c r="C38" s="327">
        <v>100</v>
      </c>
      <c r="D38" s="326" t="s">
        <v>181</v>
      </c>
      <c r="E38" s="326" t="s">
        <v>181</v>
      </c>
      <c r="F38" s="328">
        <v>100</v>
      </c>
      <c r="G38" s="326" t="s">
        <v>181</v>
      </c>
      <c r="H38" s="296">
        <v>400</v>
      </c>
    </row>
    <row r="39" spans="1:8" ht="14">
      <c r="A39" s="239"/>
      <c r="B39" s="273" t="s">
        <v>115</v>
      </c>
      <c r="C39" s="327">
        <v>200</v>
      </c>
      <c r="D39" s="328">
        <v>100</v>
      </c>
      <c r="E39" s="326" t="s">
        <v>181</v>
      </c>
      <c r="F39" s="328">
        <v>100</v>
      </c>
      <c r="G39" s="326" t="s">
        <v>181</v>
      </c>
      <c r="H39" s="296">
        <v>500</v>
      </c>
    </row>
    <row r="40" spans="1:8" ht="14">
      <c r="A40" s="240"/>
      <c r="B40" s="274" t="s">
        <v>116</v>
      </c>
      <c r="C40" s="329">
        <v>100</v>
      </c>
      <c r="D40" s="326" t="s">
        <v>181</v>
      </c>
      <c r="E40" s="329">
        <v>100</v>
      </c>
      <c r="F40" s="331" t="s">
        <v>181</v>
      </c>
      <c r="G40" s="331" t="s">
        <v>181</v>
      </c>
      <c r="H40" s="298">
        <v>500</v>
      </c>
    </row>
    <row r="41" spans="1:8" ht="14">
      <c r="A41" s="238">
        <v>2014</v>
      </c>
      <c r="B41" s="272" t="s">
        <v>105</v>
      </c>
      <c r="C41" s="332">
        <v>100</v>
      </c>
      <c r="D41" s="333">
        <v>100</v>
      </c>
      <c r="E41" s="326" t="s">
        <v>181</v>
      </c>
      <c r="F41" s="326" t="s">
        <v>181</v>
      </c>
      <c r="G41" s="326" t="s">
        <v>181</v>
      </c>
      <c r="H41" s="308">
        <v>600</v>
      </c>
    </row>
    <row r="42" spans="1:8" ht="14">
      <c r="A42" s="239"/>
      <c r="B42" s="273" t="s">
        <v>106</v>
      </c>
      <c r="C42" s="327">
        <v>100</v>
      </c>
      <c r="D42" s="326" t="s">
        <v>181</v>
      </c>
      <c r="E42" s="327">
        <v>100</v>
      </c>
      <c r="F42" s="326" t="s">
        <v>181</v>
      </c>
      <c r="G42" s="326" t="s">
        <v>181</v>
      </c>
      <c r="H42" s="296">
        <v>600</v>
      </c>
    </row>
    <row r="43" spans="1:8" ht="14">
      <c r="A43" s="239"/>
      <c r="B43" s="273" t="s">
        <v>107</v>
      </c>
      <c r="C43" s="327">
        <v>200</v>
      </c>
      <c r="D43" s="328">
        <v>100</v>
      </c>
      <c r="E43" s="326" t="s">
        <v>181</v>
      </c>
      <c r="F43" s="328">
        <v>100</v>
      </c>
      <c r="G43" s="326" t="s">
        <v>181</v>
      </c>
      <c r="H43" s="296">
        <v>800</v>
      </c>
    </row>
    <row r="44" spans="1:8" ht="14">
      <c r="A44" s="239"/>
      <c r="B44" s="273" t="s">
        <v>108</v>
      </c>
      <c r="C44" s="327">
        <v>100</v>
      </c>
      <c r="D44" s="328">
        <v>100</v>
      </c>
      <c r="E44" s="326" t="s">
        <v>181</v>
      </c>
      <c r="F44" s="326" t="s">
        <v>181</v>
      </c>
      <c r="G44" s="326" t="s">
        <v>181</v>
      </c>
      <c r="H44" s="296">
        <v>800</v>
      </c>
    </row>
    <row r="45" spans="1:8" ht="14">
      <c r="A45" s="239"/>
      <c r="B45" s="273" t="s">
        <v>109</v>
      </c>
      <c r="C45" s="327">
        <v>100</v>
      </c>
      <c r="D45" s="326" t="s">
        <v>181</v>
      </c>
      <c r="E45" s="327">
        <v>100</v>
      </c>
      <c r="F45" s="326" t="s">
        <v>181</v>
      </c>
      <c r="G45" s="326" t="s">
        <v>181</v>
      </c>
      <c r="H45" s="296">
        <v>900</v>
      </c>
    </row>
    <row r="46" spans="1:8" ht="14">
      <c r="A46" s="239"/>
      <c r="B46" s="273" t="s">
        <v>110</v>
      </c>
      <c r="C46" s="327">
        <v>100</v>
      </c>
      <c r="D46" s="328">
        <v>100</v>
      </c>
      <c r="E46" s="326" t="s">
        <v>181</v>
      </c>
      <c r="F46" s="326" t="s">
        <v>181</v>
      </c>
      <c r="G46" s="326" t="s">
        <v>181</v>
      </c>
      <c r="H46" s="296">
        <v>800</v>
      </c>
    </row>
    <row r="47" spans="1:8" ht="14">
      <c r="A47" s="239"/>
      <c r="B47" s="273" t="s">
        <v>117</v>
      </c>
      <c r="C47" s="327">
        <v>100</v>
      </c>
      <c r="D47" s="326" t="s">
        <v>181</v>
      </c>
      <c r="E47" s="326" t="s">
        <v>181</v>
      </c>
      <c r="F47" s="328">
        <v>100</v>
      </c>
      <c r="G47" s="326" t="s">
        <v>181</v>
      </c>
      <c r="H47" s="296">
        <v>600</v>
      </c>
    </row>
    <row r="48" spans="1:8" ht="14">
      <c r="A48" s="239"/>
      <c r="B48" s="273" t="s">
        <v>112</v>
      </c>
      <c r="C48" s="327">
        <v>100</v>
      </c>
      <c r="D48" s="326" t="s">
        <v>181</v>
      </c>
      <c r="E48" s="326" t="s">
        <v>181</v>
      </c>
      <c r="F48" s="326" t="s">
        <v>181</v>
      </c>
      <c r="G48" s="290">
        <v>100</v>
      </c>
      <c r="H48" s="296">
        <v>500</v>
      </c>
    </row>
    <row r="49" spans="1:8" ht="14">
      <c r="A49" s="239"/>
      <c r="B49" s="273" t="s">
        <v>113</v>
      </c>
      <c r="C49" s="327">
        <v>200</v>
      </c>
      <c r="D49" s="328">
        <v>100</v>
      </c>
      <c r="E49" s="327">
        <v>100</v>
      </c>
      <c r="F49" s="326" t="s">
        <v>181</v>
      </c>
      <c r="G49" s="326" t="s">
        <v>181</v>
      </c>
      <c r="H49" s="296">
        <v>600</v>
      </c>
    </row>
    <row r="50" spans="1:8" ht="14">
      <c r="A50" s="239"/>
      <c r="B50" s="273" t="s">
        <v>114</v>
      </c>
      <c r="C50" s="327">
        <v>100</v>
      </c>
      <c r="D50" s="328">
        <v>100</v>
      </c>
      <c r="E50" s="326" t="s">
        <v>181</v>
      </c>
      <c r="F50" s="326" t="s">
        <v>181</v>
      </c>
      <c r="G50" s="326" t="s">
        <v>181</v>
      </c>
      <c r="H50" s="296">
        <v>700</v>
      </c>
    </row>
    <row r="51" spans="1:8" ht="14">
      <c r="A51" s="239"/>
      <c r="B51" s="273" t="s">
        <v>115</v>
      </c>
      <c r="C51" s="327">
        <v>200</v>
      </c>
      <c r="D51" s="328">
        <v>100</v>
      </c>
      <c r="E51" s="327">
        <v>100</v>
      </c>
      <c r="F51" s="326" t="s">
        <v>181</v>
      </c>
      <c r="G51" s="326" t="s">
        <v>181</v>
      </c>
      <c r="H51" s="296">
        <v>800</v>
      </c>
    </row>
    <row r="52" spans="1:8" ht="14">
      <c r="A52" s="240"/>
      <c r="B52" s="274" t="s">
        <v>116</v>
      </c>
      <c r="C52" s="329">
        <v>100</v>
      </c>
      <c r="D52" s="331" t="s">
        <v>181</v>
      </c>
      <c r="E52" s="331" t="s">
        <v>181</v>
      </c>
      <c r="F52" s="330">
        <v>100</v>
      </c>
      <c r="G52" s="331" t="s">
        <v>181</v>
      </c>
      <c r="H52" s="298">
        <v>700</v>
      </c>
    </row>
    <row r="53" spans="1:8" ht="14">
      <c r="A53" s="239">
        <v>2015</v>
      </c>
      <c r="B53" s="273" t="s">
        <v>105</v>
      </c>
      <c r="C53" s="326" t="s">
        <v>181</v>
      </c>
      <c r="D53" s="326" t="s">
        <v>181</v>
      </c>
      <c r="E53" s="326" t="s">
        <v>181</v>
      </c>
      <c r="F53" s="326" t="s">
        <v>181</v>
      </c>
      <c r="G53" s="326" t="s">
        <v>181</v>
      </c>
      <c r="H53" s="296">
        <v>600</v>
      </c>
    </row>
    <row r="54" spans="1:8" ht="14">
      <c r="A54" s="239"/>
      <c r="B54" s="251" t="s">
        <v>106</v>
      </c>
      <c r="C54" s="327">
        <v>100</v>
      </c>
      <c r="D54" s="326" t="s">
        <v>181</v>
      </c>
      <c r="E54" s="326" t="s">
        <v>181</v>
      </c>
      <c r="F54" s="327">
        <v>100</v>
      </c>
      <c r="G54" s="326" t="s">
        <v>181</v>
      </c>
      <c r="H54" s="290">
        <v>600</v>
      </c>
    </row>
    <row r="55" spans="1:8" ht="14">
      <c r="A55" s="239"/>
      <c r="B55" s="251" t="s">
        <v>107</v>
      </c>
      <c r="C55" s="327">
        <v>100</v>
      </c>
      <c r="D55" s="328">
        <v>100</v>
      </c>
      <c r="E55" s="326" t="s">
        <v>181</v>
      </c>
      <c r="F55" s="326" t="s">
        <v>181</v>
      </c>
      <c r="G55" s="326" t="s">
        <v>181</v>
      </c>
      <c r="H55" s="296">
        <v>600</v>
      </c>
    </row>
    <row r="56" spans="1:8" ht="14">
      <c r="A56" s="239"/>
      <c r="B56" s="251" t="s">
        <v>108</v>
      </c>
      <c r="C56" s="327">
        <v>100</v>
      </c>
      <c r="D56" s="326" t="s">
        <v>181</v>
      </c>
      <c r="E56" s="326" t="s">
        <v>181</v>
      </c>
      <c r="F56" s="326" t="s">
        <v>181</v>
      </c>
      <c r="G56" s="290">
        <v>100</v>
      </c>
      <c r="H56" s="290">
        <v>600</v>
      </c>
    </row>
    <row r="57" spans="1:8" ht="14">
      <c r="A57" s="239"/>
      <c r="B57" s="251" t="s">
        <v>109</v>
      </c>
      <c r="C57" s="327">
        <v>100</v>
      </c>
      <c r="D57" s="326" t="s">
        <v>181</v>
      </c>
      <c r="E57" s="327">
        <v>100</v>
      </c>
      <c r="F57" s="326" t="s">
        <v>181</v>
      </c>
      <c r="G57" s="326" t="s">
        <v>181</v>
      </c>
      <c r="H57" s="290">
        <v>600</v>
      </c>
    </row>
    <row r="58" spans="1:8" ht="14">
      <c r="A58" s="239"/>
      <c r="B58" s="251" t="s">
        <v>110</v>
      </c>
      <c r="C58" s="327">
        <v>100</v>
      </c>
      <c r="D58" s="327">
        <v>100</v>
      </c>
      <c r="E58" s="326" t="s">
        <v>181</v>
      </c>
      <c r="F58" s="326" t="s">
        <v>181</v>
      </c>
      <c r="G58" s="326" t="s">
        <v>181</v>
      </c>
      <c r="H58" s="290">
        <v>600</v>
      </c>
    </row>
    <row r="59" spans="1:8" ht="14">
      <c r="A59" s="239"/>
      <c r="B59" s="251" t="s">
        <v>117</v>
      </c>
      <c r="C59" s="327">
        <v>100</v>
      </c>
      <c r="D59" s="326" t="s">
        <v>181</v>
      </c>
      <c r="E59" s="327">
        <v>100</v>
      </c>
      <c r="F59" s="326" t="s">
        <v>181</v>
      </c>
      <c r="G59" s="326" t="s">
        <v>181</v>
      </c>
      <c r="H59" s="296">
        <v>700</v>
      </c>
    </row>
    <row r="60" spans="1:8" ht="14">
      <c r="A60" s="239"/>
      <c r="B60" s="251" t="s">
        <v>112</v>
      </c>
      <c r="C60" s="327">
        <v>100</v>
      </c>
      <c r="D60" s="326" t="s">
        <v>181</v>
      </c>
      <c r="E60" s="326" t="s">
        <v>181</v>
      </c>
      <c r="F60" s="327">
        <v>100</v>
      </c>
      <c r="G60" s="326" t="s">
        <v>181</v>
      </c>
      <c r="H60" s="290">
        <v>700</v>
      </c>
    </row>
    <row r="61" spans="1:8" ht="14">
      <c r="A61" s="239"/>
      <c r="B61" s="251" t="s">
        <v>113</v>
      </c>
      <c r="C61" s="327">
        <v>100</v>
      </c>
      <c r="D61" s="327">
        <v>100</v>
      </c>
      <c r="E61" s="326" t="s">
        <v>181</v>
      </c>
      <c r="F61" s="326" t="s">
        <v>181</v>
      </c>
      <c r="G61" s="326" t="s">
        <v>181</v>
      </c>
      <c r="H61" s="290">
        <v>700</v>
      </c>
    </row>
    <row r="62" spans="1:8" ht="14">
      <c r="A62" s="239"/>
      <c r="B62" s="251" t="s">
        <v>114</v>
      </c>
      <c r="C62" s="327">
        <v>100</v>
      </c>
      <c r="D62" s="326" t="s">
        <v>181</v>
      </c>
      <c r="E62" s="326" t="s">
        <v>181</v>
      </c>
      <c r="F62" s="326" t="s">
        <v>181</v>
      </c>
      <c r="G62" s="327">
        <v>25</v>
      </c>
      <c r="H62" s="296">
        <v>625</v>
      </c>
    </row>
    <row r="63" spans="1:8" ht="14">
      <c r="A63" s="239"/>
      <c r="B63" s="251" t="s">
        <v>115</v>
      </c>
      <c r="C63" s="327">
        <v>100</v>
      </c>
      <c r="D63" s="326" t="s">
        <v>181</v>
      </c>
      <c r="E63" s="327">
        <v>100</v>
      </c>
      <c r="F63" s="327" t="s">
        <v>181</v>
      </c>
      <c r="G63" s="327" t="s">
        <v>181</v>
      </c>
      <c r="H63" s="296">
        <v>525</v>
      </c>
    </row>
    <row r="64" spans="1:8" ht="14">
      <c r="A64" s="239"/>
      <c r="B64" s="251" t="s">
        <v>116</v>
      </c>
      <c r="C64" s="327">
        <v>100</v>
      </c>
      <c r="D64" s="327">
        <v>100</v>
      </c>
      <c r="E64" s="327" t="s">
        <v>181</v>
      </c>
      <c r="F64" s="327" t="s">
        <v>181</v>
      </c>
      <c r="G64" s="327" t="s">
        <v>181</v>
      </c>
      <c r="H64" s="296">
        <v>525</v>
      </c>
    </row>
    <row r="65" spans="1:9" ht="14">
      <c r="A65" s="238">
        <v>2016</v>
      </c>
      <c r="B65" s="272" t="s">
        <v>105</v>
      </c>
      <c r="C65" s="332">
        <v>100</v>
      </c>
      <c r="D65" s="333">
        <v>100</v>
      </c>
      <c r="E65" s="332" t="s">
        <v>181</v>
      </c>
      <c r="F65" s="333" t="s">
        <v>181</v>
      </c>
      <c r="G65" s="332" t="s">
        <v>181</v>
      </c>
      <c r="H65" s="308">
        <v>525</v>
      </c>
      <c r="I65" s="74"/>
    </row>
    <row r="66" spans="1:9" ht="14">
      <c r="A66" s="239"/>
      <c r="B66" s="273" t="s">
        <v>106</v>
      </c>
      <c r="C66" s="327">
        <v>100</v>
      </c>
      <c r="D66" s="328">
        <v>100</v>
      </c>
      <c r="E66" s="327" t="s">
        <v>181</v>
      </c>
      <c r="F66" s="328" t="s">
        <v>181</v>
      </c>
      <c r="G66" s="327" t="s">
        <v>181</v>
      </c>
      <c r="H66" s="296">
        <v>625</v>
      </c>
      <c r="I66" s="74"/>
    </row>
    <row r="67" spans="1:9" ht="14">
      <c r="A67" s="239"/>
      <c r="B67" s="273" t="s">
        <v>107</v>
      </c>
      <c r="C67" s="327">
        <v>100</v>
      </c>
      <c r="D67" s="328" t="s">
        <v>181</v>
      </c>
      <c r="E67" s="327">
        <v>100</v>
      </c>
      <c r="F67" s="328" t="s">
        <v>181</v>
      </c>
      <c r="G67" s="327" t="s">
        <v>181</v>
      </c>
      <c r="H67" s="296">
        <v>625</v>
      </c>
      <c r="I67" s="74"/>
    </row>
    <row r="68" spans="1:9" ht="14">
      <c r="A68" s="239"/>
      <c r="B68" s="273" t="s">
        <v>108</v>
      </c>
      <c r="C68" s="327">
        <v>150</v>
      </c>
      <c r="D68" s="328">
        <v>100</v>
      </c>
      <c r="E68" s="327" t="s">
        <v>181</v>
      </c>
      <c r="F68" s="328" t="s">
        <v>181</v>
      </c>
      <c r="G68" s="327">
        <v>50</v>
      </c>
      <c r="H68" s="296">
        <v>575</v>
      </c>
      <c r="I68" s="74"/>
    </row>
    <row r="69" spans="1:9" ht="14">
      <c r="A69" s="239"/>
      <c r="B69" s="273" t="s">
        <v>109</v>
      </c>
      <c r="C69" s="327">
        <v>20</v>
      </c>
      <c r="D69" s="328" t="s">
        <v>181</v>
      </c>
      <c r="E69" s="327" t="s">
        <v>181</v>
      </c>
      <c r="F69" s="328">
        <v>20</v>
      </c>
      <c r="G69" s="327" t="s">
        <v>181</v>
      </c>
      <c r="H69" s="296">
        <v>295</v>
      </c>
      <c r="I69" s="74"/>
    </row>
    <row r="70" spans="1:9" ht="14">
      <c r="A70" s="239"/>
      <c r="B70" s="273" t="s">
        <v>110</v>
      </c>
      <c r="C70" s="327">
        <v>100</v>
      </c>
      <c r="D70" s="328">
        <v>100</v>
      </c>
      <c r="E70" s="327" t="s">
        <v>181</v>
      </c>
      <c r="F70" s="328" t="s">
        <v>181</v>
      </c>
      <c r="G70" s="327" t="s">
        <v>181</v>
      </c>
      <c r="H70" s="296">
        <v>395</v>
      </c>
      <c r="I70" s="74"/>
    </row>
    <row r="71" spans="1:9" ht="14">
      <c r="A71" s="239"/>
      <c r="B71" s="273" t="s">
        <v>117</v>
      </c>
      <c r="C71" s="327">
        <v>100</v>
      </c>
      <c r="D71" s="328">
        <v>100</v>
      </c>
      <c r="E71" s="327" t="s">
        <v>181</v>
      </c>
      <c r="F71" s="328" t="s">
        <v>181</v>
      </c>
      <c r="G71" s="327" t="s">
        <v>181</v>
      </c>
      <c r="H71" s="296">
        <v>395</v>
      </c>
      <c r="I71" s="74"/>
    </row>
    <row r="72" spans="1:9" ht="14">
      <c r="A72" s="239"/>
      <c r="B72" s="273" t="s">
        <v>112</v>
      </c>
      <c r="C72" s="327">
        <v>160</v>
      </c>
      <c r="D72" s="328">
        <v>100</v>
      </c>
      <c r="E72" s="327">
        <v>60</v>
      </c>
      <c r="F72" s="328" t="s">
        <v>181</v>
      </c>
      <c r="G72" s="327" t="s">
        <v>181</v>
      </c>
      <c r="H72" s="296">
        <v>555</v>
      </c>
      <c r="I72" s="74"/>
    </row>
    <row r="73" spans="1:9" ht="14">
      <c r="A73" s="239"/>
      <c r="B73" s="273" t="s">
        <v>113</v>
      </c>
      <c r="C73" s="327">
        <v>100</v>
      </c>
      <c r="D73" s="328" t="s">
        <v>181</v>
      </c>
      <c r="E73" s="327">
        <v>100</v>
      </c>
      <c r="F73" s="328" t="s">
        <v>181</v>
      </c>
      <c r="G73" s="327" t="s">
        <v>181</v>
      </c>
      <c r="H73" s="296">
        <v>455</v>
      </c>
      <c r="I73" s="74"/>
    </row>
    <row r="74" spans="1:9" ht="14">
      <c r="A74" s="239"/>
      <c r="B74" s="273" t="s">
        <v>114</v>
      </c>
      <c r="C74" s="327">
        <v>38.200000000000003</v>
      </c>
      <c r="D74" s="328" t="s">
        <v>181</v>
      </c>
      <c r="E74" s="327" t="s">
        <v>181</v>
      </c>
      <c r="F74" s="328" t="s">
        <v>181</v>
      </c>
      <c r="G74" s="327">
        <v>38.200000000000003</v>
      </c>
      <c r="H74" s="296">
        <v>368</v>
      </c>
      <c r="I74" s="74"/>
    </row>
    <row r="75" spans="1:9" ht="14">
      <c r="A75" s="239"/>
      <c r="B75" s="273" t="s">
        <v>115</v>
      </c>
      <c r="C75" s="327">
        <v>105</v>
      </c>
      <c r="D75" s="328">
        <v>100</v>
      </c>
      <c r="E75" s="327" t="s">
        <v>181</v>
      </c>
      <c r="F75" s="328">
        <v>5</v>
      </c>
      <c r="G75" s="327" t="s">
        <v>181</v>
      </c>
      <c r="H75" s="296">
        <v>373.2</v>
      </c>
      <c r="I75" s="74"/>
    </row>
    <row r="76" spans="1:9" ht="14">
      <c r="A76" s="240"/>
      <c r="B76" s="274" t="s">
        <v>116</v>
      </c>
      <c r="C76" s="329">
        <v>100</v>
      </c>
      <c r="D76" s="330">
        <v>100</v>
      </c>
      <c r="E76" s="329" t="s">
        <v>181</v>
      </c>
      <c r="F76" s="330" t="s">
        <v>181</v>
      </c>
      <c r="G76" s="329" t="s">
        <v>181</v>
      </c>
      <c r="H76" s="298">
        <v>473.2</v>
      </c>
      <c r="I76" s="74"/>
    </row>
    <row r="77" spans="1:9" ht="14">
      <c r="A77" s="238">
        <v>2017</v>
      </c>
      <c r="B77" s="272" t="s">
        <v>105</v>
      </c>
      <c r="C77" s="332">
        <v>100</v>
      </c>
      <c r="D77" s="333">
        <v>100</v>
      </c>
      <c r="E77" s="332" t="s">
        <v>181</v>
      </c>
      <c r="F77" s="333" t="s">
        <v>181</v>
      </c>
      <c r="G77" s="332" t="s">
        <v>181</v>
      </c>
      <c r="H77" s="308">
        <v>573.20000000000005</v>
      </c>
      <c r="I77" s="74"/>
    </row>
    <row r="78" spans="1:9" ht="14">
      <c r="A78" s="239"/>
      <c r="B78" s="273" t="s">
        <v>106</v>
      </c>
      <c r="C78" s="327">
        <v>100</v>
      </c>
      <c r="D78" s="328">
        <v>100</v>
      </c>
      <c r="E78" s="327" t="s">
        <v>181</v>
      </c>
      <c r="F78" s="328" t="s">
        <v>181</v>
      </c>
      <c r="G78" s="327" t="s">
        <v>181</v>
      </c>
      <c r="H78" s="296">
        <v>493.2</v>
      </c>
      <c r="I78" s="74"/>
    </row>
    <row r="79" spans="1:9" ht="14">
      <c r="A79" s="239"/>
      <c r="B79" s="273" t="s">
        <v>107</v>
      </c>
      <c r="C79" s="327">
        <v>100</v>
      </c>
      <c r="D79" s="328" t="s">
        <v>181</v>
      </c>
      <c r="E79" s="327">
        <v>100</v>
      </c>
      <c r="F79" s="328" t="s">
        <v>181</v>
      </c>
      <c r="G79" s="327" t="s">
        <v>181</v>
      </c>
      <c r="H79" s="296">
        <v>393.2</v>
      </c>
      <c r="I79" s="74"/>
    </row>
    <row r="80" spans="1:9" ht="14">
      <c r="A80" s="239"/>
      <c r="B80" s="273" t="s">
        <v>108</v>
      </c>
      <c r="C80" s="327">
        <v>50</v>
      </c>
      <c r="D80" s="328" t="s">
        <v>181</v>
      </c>
      <c r="E80" s="327" t="s">
        <v>181</v>
      </c>
      <c r="F80" s="328" t="s">
        <v>181</v>
      </c>
      <c r="G80" s="327">
        <v>50</v>
      </c>
      <c r="H80" s="296">
        <v>293.2</v>
      </c>
      <c r="I80" s="74"/>
    </row>
    <row r="81" spans="1:9" ht="14">
      <c r="A81" s="239"/>
      <c r="B81" s="273" t="s">
        <v>109</v>
      </c>
      <c r="C81" s="327">
        <v>100</v>
      </c>
      <c r="D81" s="328">
        <v>100</v>
      </c>
      <c r="E81" s="327" t="s">
        <v>181</v>
      </c>
      <c r="F81" s="328" t="s">
        <v>181</v>
      </c>
      <c r="G81" s="327" t="s">
        <v>181</v>
      </c>
      <c r="H81" s="296">
        <v>293.2</v>
      </c>
      <c r="I81" s="74"/>
    </row>
    <row r="82" spans="1:9" ht="14">
      <c r="A82" s="239"/>
      <c r="B82" s="273" t="s">
        <v>110</v>
      </c>
      <c r="C82" s="327">
        <v>100</v>
      </c>
      <c r="D82" s="328">
        <v>100</v>
      </c>
      <c r="E82" s="327" t="s">
        <v>181</v>
      </c>
      <c r="F82" s="328" t="s">
        <v>181</v>
      </c>
      <c r="G82" s="327" t="s">
        <v>181</v>
      </c>
      <c r="H82" s="296">
        <v>393.2</v>
      </c>
      <c r="I82" s="74"/>
    </row>
    <row r="83" spans="1:9" ht="14">
      <c r="A83" s="239"/>
      <c r="B83" s="273" t="s">
        <v>117</v>
      </c>
      <c r="C83" s="327">
        <v>100</v>
      </c>
      <c r="D83" s="328">
        <v>100</v>
      </c>
      <c r="E83" s="327" t="s">
        <v>181</v>
      </c>
      <c r="F83" s="328" t="s">
        <v>181</v>
      </c>
      <c r="G83" s="327" t="s">
        <v>181</v>
      </c>
      <c r="H83" s="296">
        <v>493.2</v>
      </c>
      <c r="I83" s="74"/>
    </row>
    <row r="84" spans="1:9" ht="14">
      <c r="A84" s="239"/>
      <c r="B84" s="273" t="s">
        <v>112</v>
      </c>
      <c r="C84" s="327">
        <v>50</v>
      </c>
      <c r="D84" s="327" t="s">
        <v>181</v>
      </c>
      <c r="E84" s="327" t="s">
        <v>181</v>
      </c>
      <c r="F84" s="328">
        <v>50</v>
      </c>
      <c r="G84" s="327" t="s">
        <v>181</v>
      </c>
      <c r="H84" s="296">
        <v>438.2</v>
      </c>
      <c r="I84" s="74"/>
    </row>
    <row r="85" spans="1:9" ht="14">
      <c r="A85" s="239"/>
      <c r="B85" s="273" t="s">
        <v>113</v>
      </c>
      <c r="C85" s="327">
        <v>100</v>
      </c>
      <c r="D85" s="334">
        <v>100</v>
      </c>
      <c r="E85" s="327" t="s">
        <v>181</v>
      </c>
      <c r="F85" s="327" t="s">
        <v>181</v>
      </c>
      <c r="G85" s="327" t="s">
        <v>181</v>
      </c>
      <c r="H85" s="296">
        <v>338.2</v>
      </c>
      <c r="I85" s="74"/>
    </row>
    <row r="86" spans="1:9" ht="14">
      <c r="A86" s="239"/>
      <c r="B86" s="273" t="s">
        <v>114</v>
      </c>
      <c r="C86" s="327">
        <v>100</v>
      </c>
      <c r="D86" s="334">
        <v>100</v>
      </c>
      <c r="E86" s="327" t="s">
        <v>181</v>
      </c>
      <c r="F86" s="327" t="s">
        <v>181</v>
      </c>
      <c r="G86" s="327" t="s">
        <v>181</v>
      </c>
      <c r="H86" s="296">
        <v>332.4</v>
      </c>
      <c r="I86" s="74"/>
    </row>
    <row r="87" spans="1:9" ht="14">
      <c r="A87" s="239"/>
      <c r="B87" s="273" t="s">
        <v>115</v>
      </c>
      <c r="C87" s="327">
        <v>100</v>
      </c>
      <c r="D87" s="334">
        <v>100</v>
      </c>
      <c r="E87" s="327" t="s">
        <v>181</v>
      </c>
      <c r="F87" s="327" t="s">
        <v>181</v>
      </c>
      <c r="G87" s="327" t="s">
        <v>181</v>
      </c>
      <c r="H87" s="296">
        <v>332.4</v>
      </c>
      <c r="I87" s="74"/>
    </row>
    <row r="88" spans="1:9" ht="14">
      <c r="A88" s="240"/>
      <c r="B88" s="274" t="s">
        <v>116</v>
      </c>
      <c r="C88" s="329">
        <v>100</v>
      </c>
      <c r="D88" s="335">
        <v>100</v>
      </c>
      <c r="E88" s="329" t="s">
        <v>181</v>
      </c>
      <c r="F88" s="329" t="s">
        <v>181</v>
      </c>
      <c r="G88" s="329" t="s">
        <v>181</v>
      </c>
      <c r="H88" s="298">
        <v>432.4</v>
      </c>
    </row>
    <row r="89" spans="1:9" ht="14">
      <c r="A89" s="238">
        <v>2018</v>
      </c>
      <c r="B89" s="272" t="s">
        <v>105</v>
      </c>
      <c r="C89" s="332">
        <v>100</v>
      </c>
      <c r="D89" s="333">
        <v>100</v>
      </c>
      <c r="E89" s="332" t="s">
        <v>181</v>
      </c>
      <c r="F89" s="333" t="s">
        <v>181</v>
      </c>
      <c r="G89" s="332" t="s">
        <v>181</v>
      </c>
      <c r="H89" s="308">
        <v>432.4</v>
      </c>
    </row>
    <row r="90" spans="1:9" ht="14">
      <c r="A90" s="239"/>
      <c r="B90" s="273" t="s">
        <v>106</v>
      </c>
      <c r="C90" s="327">
        <v>100</v>
      </c>
      <c r="D90" s="328">
        <v>100</v>
      </c>
      <c r="E90" s="327" t="s">
        <v>181</v>
      </c>
      <c r="F90" s="328" t="s">
        <v>181</v>
      </c>
      <c r="G90" s="327" t="s">
        <v>181</v>
      </c>
      <c r="H90" s="296">
        <v>432.4</v>
      </c>
    </row>
    <row r="91" spans="1:9" ht="14">
      <c r="A91" s="239"/>
      <c r="B91" s="273" t="s">
        <v>107</v>
      </c>
      <c r="C91" s="327">
        <v>50</v>
      </c>
      <c r="D91" s="328" t="s">
        <v>181</v>
      </c>
      <c r="E91" s="327" t="s">
        <v>181</v>
      </c>
      <c r="F91" s="328" t="s">
        <v>181</v>
      </c>
      <c r="G91" s="327">
        <v>50</v>
      </c>
      <c r="H91" s="296">
        <v>382.4</v>
      </c>
    </row>
    <row r="92" spans="1:9" ht="14">
      <c r="A92" s="239"/>
      <c r="B92" s="273" t="s">
        <v>108</v>
      </c>
      <c r="C92" s="336">
        <v>100</v>
      </c>
      <c r="D92" s="327">
        <v>100</v>
      </c>
      <c r="E92" s="327" t="s">
        <v>181</v>
      </c>
      <c r="F92" s="328" t="s">
        <v>181</v>
      </c>
      <c r="G92" s="327" t="s">
        <v>181</v>
      </c>
      <c r="H92" s="296">
        <v>332.4</v>
      </c>
    </row>
    <row r="93" spans="1:9" ht="14">
      <c r="A93" s="239"/>
      <c r="B93" s="273" t="s">
        <v>109</v>
      </c>
      <c r="C93" s="336">
        <v>100</v>
      </c>
      <c r="D93" s="327">
        <v>100</v>
      </c>
      <c r="E93" s="327" t="s">
        <v>181</v>
      </c>
      <c r="F93" s="328" t="s">
        <v>181</v>
      </c>
      <c r="G93" s="327" t="s">
        <v>181</v>
      </c>
      <c r="H93" s="296">
        <v>282.39999999999998</v>
      </c>
    </row>
    <row r="94" spans="1:9" ht="14">
      <c r="A94" s="239"/>
      <c r="B94" s="273" t="s">
        <v>110</v>
      </c>
      <c r="C94" s="327">
        <v>50</v>
      </c>
      <c r="D94" s="327" t="s">
        <v>181</v>
      </c>
      <c r="E94" s="327" t="s">
        <v>181</v>
      </c>
      <c r="F94" s="328" t="s">
        <v>181</v>
      </c>
      <c r="G94" s="327">
        <v>50</v>
      </c>
      <c r="H94" s="290">
        <v>332.4</v>
      </c>
    </row>
    <row r="95" spans="1:9" ht="14">
      <c r="A95" s="239"/>
      <c r="B95" s="273" t="s">
        <v>117</v>
      </c>
      <c r="C95" s="327">
        <v>100</v>
      </c>
      <c r="D95" s="327">
        <v>100</v>
      </c>
      <c r="E95" s="327" t="s">
        <v>181</v>
      </c>
      <c r="F95" s="328" t="s">
        <v>181</v>
      </c>
      <c r="G95" s="327" t="s">
        <v>181</v>
      </c>
      <c r="H95" s="290">
        <v>332.4</v>
      </c>
    </row>
    <row r="96" spans="1:9" ht="14">
      <c r="A96" s="239"/>
      <c r="B96" s="273" t="s">
        <v>112</v>
      </c>
      <c r="C96" s="327">
        <v>100</v>
      </c>
      <c r="D96" s="327">
        <v>100</v>
      </c>
      <c r="E96" s="327" t="s">
        <v>181</v>
      </c>
      <c r="F96" s="328" t="s">
        <v>181</v>
      </c>
      <c r="G96" s="327" t="s">
        <v>181</v>
      </c>
      <c r="H96" s="290">
        <v>332.4</v>
      </c>
    </row>
    <row r="97" spans="1:8" ht="14">
      <c r="A97" s="239"/>
      <c r="B97" s="273" t="s">
        <v>113</v>
      </c>
      <c r="C97" s="327">
        <v>15</v>
      </c>
      <c r="D97" s="327" t="s">
        <v>181</v>
      </c>
      <c r="E97" s="327" t="s">
        <v>181</v>
      </c>
      <c r="F97" s="328" t="s">
        <v>181</v>
      </c>
      <c r="G97" s="327">
        <v>15</v>
      </c>
      <c r="H97" s="290">
        <v>347.4</v>
      </c>
    </row>
    <row r="98" spans="1:8" ht="14">
      <c r="A98" s="239"/>
      <c r="B98" s="273" t="s">
        <v>114</v>
      </c>
      <c r="C98" s="327">
        <v>100</v>
      </c>
      <c r="D98" s="327">
        <v>100</v>
      </c>
      <c r="E98" s="327" t="s">
        <v>181</v>
      </c>
      <c r="F98" s="328" t="s">
        <v>181</v>
      </c>
      <c r="G98" s="327" t="s">
        <v>181</v>
      </c>
      <c r="H98" s="290">
        <v>315</v>
      </c>
    </row>
    <row r="99" spans="1:8" ht="14">
      <c r="A99" s="239"/>
      <c r="B99" s="273" t="s">
        <v>115</v>
      </c>
      <c r="C99" s="327">
        <v>100</v>
      </c>
      <c r="D99" s="327">
        <v>100</v>
      </c>
      <c r="E99" s="327" t="s">
        <v>181</v>
      </c>
      <c r="F99" s="328" t="s">
        <v>181</v>
      </c>
      <c r="G99" s="327" t="s">
        <v>181</v>
      </c>
      <c r="H99" s="290">
        <v>315</v>
      </c>
    </row>
    <row r="100" spans="1:8" ht="14">
      <c r="A100" s="240"/>
      <c r="B100" s="274" t="s">
        <v>116</v>
      </c>
      <c r="C100" s="329">
        <v>32.5</v>
      </c>
      <c r="D100" s="329" t="s">
        <v>181</v>
      </c>
      <c r="E100" s="329" t="s">
        <v>181</v>
      </c>
      <c r="F100" s="329" t="s">
        <v>181</v>
      </c>
      <c r="G100" s="329">
        <v>32.5</v>
      </c>
      <c r="H100" s="293">
        <v>347.5</v>
      </c>
    </row>
    <row r="101" spans="1:8" ht="14">
      <c r="A101" s="238">
        <v>2019</v>
      </c>
      <c r="B101" s="272" t="s">
        <v>105</v>
      </c>
      <c r="C101" s="337">
        <v>100</v>
      </c>
      <c r="D101" s="332">
        <v>100</v>
      </c>
      <c r="E101" s="332" t="s">
        <v>181</v>
      </c>
      <c r="F101" s="332" t="s">
        <v>181</v>
      </c>
      <c r="G101" s="332" t="s">
        <v>181</v>
      </c>
      <c r="H101" s="287">
        <v>347.5</v>
      </c>
    </row>
    <row r="102" spans="1:8" ht="14">
      <c r="A102" s="239"/>
      <c r="B102" s="273" t="s">
        <v>106</v>
      </c>
      <c r="C102" s="328">
        <v>100</v>
      </c>
      <c r="D102" s="327">
        <v>100</v>
      </c>
      <c r="E102" s="327" t="s">
        <v>181</v>
      </c>
      <c r="F102" s="327" t="s">
        <v>181</v>
      </c>
      <c r="G102" s="327" t="s">
        <v>181</v>
      </c>
      <c r="H102" s="290">
        <v>347.5</v>
      </c>
    </row>
    <row r="103" spans="1:8" ht="14">
      <c r="A103" s="239"/>
      <c r="B103" s="273" t="s">
        <v>107</v>
      </c>
      <c r="C103" s="336">
        <v>24.5</v>
      </c>
      <c r="D103" s="327" t="s">
        <v>181</v>
      </c>
      <c r="E103" s="327" t="s">
        <v>181</v>
      </c>
      <c r="F103" s="327" t="s">
        <v>181</v>
      </c>
      <c r="G103" s="327">
        <v>24.5</v>
      </c>
      <c r="H103" s="290">
        <v>322</v>
      </c>
    </row>
    <row r="104" spans="1:8" ht="14">
      <c r="A104" s="239"/>
      <c r="B104" s="273" t="s">
        <v>108</v>
      </c>
      <c r="C104" s="328">
        <v>100</v>
      </c>
      <c r="D104" s="327">
        <v>100</v>
      </c>
      <c r="E104" s="327" t="s">
        <v>181</v>
      </c>
      <c r="F104" s="327" t="s">
        <v>181</v>
      </c>
      <c r="G104" s="327" t="s">
        <v>181</v>
      </c>
      <c r="H104" s="290">
        <v>322</v>
      </c>
    </row>
    <row r="105" spans="1:8" ht="14">
      <c r="A105" s="239"/>
      <c r="B105" s="273" t="s">
        <v>109</v>
      </c>
      <c r="C105" s="328">
        <v>100</v>
      </c>
      <c r="D105" s="327">
        <v>100</v>
      </c>
      <c r="E105" s="327">
        <v>0</v>
      </c>
      <c r="F105" s="327">
        <v>0</v>
      </c>
      <c r="G105" s="327">
        <v>0</v>
      </c>
      <c r="H105" s="290">
        <v>322</v>
      </c>
    </row>
    <row r="106" spans="1:8" ht="14">
      <c r="A106" s="239"/>
      <c r="B106" s="273" t="s">
        <v>110</v>
      </c>
      <c r="C106" s="328">
        <v>50</v>
      </c>
      <c r="D106" s="327" t="s">
        <v>181</v>
      </c>
      <c r="E106" s="327" t="s">
        <v>181</v>
      </c>
      <c r="F106" s="327" t="s">
        <v>181</v>
      </c>
      <c r="G106" s="327">
        <v>50</v>
      </c>
      <c r="H106" s="290">
        <v>322</v>
      </c>
    </row>
    <row r="107" spans="1:8" ht="14">
      <c r="A107" s="239"/>
      <c r="B107" s="273" t="s">
        <v>117</v>
      </c>
      <c r="C107" s="328">
        <v>100</v>
      </c>
      <c r="D107" s="327">
        <v>100</v>
      </c>
      <c r="E107" s="327" t="s">
        <v>181</v>
      </c>
      <c r="F107" s="327" t="s">
        <v>181</v>
      </c>
      <c r="G107" s="327" t="s">
        <v>181</v>
      </c>
      <c r="H107" s="296">
        <v>322</v>
      </c>
    </row>
    <row r="108" spans="1:8" ht="14">
      <c r="A108" s="239"/>
      <c r="B108" s="273" t="s">
        <v>112</v>
      </c>
      <c r="C108" s="328">
        <v>100</v>
      </c>
      <c r="D108" s="327">
        <v>100</v>
      </c>
      <c r="E108" s="327" t="s">
        <v>181</v>
      </c>
      <c r="F108" s="327" t="s">
        <v>181</v>
      </c>
      <c r="G108" s="327" t="s">
        <v>181</v>
      </c>
      <c r="H108" s="296">
        <v>322</v>
      </c>
    </row>
    <row r="109" spans="1:8" ht="14">
      <c r="A109" s="239"/>
      <c r="B109" s="273" t="s">
        <v>113</v>
      </c>
      <c r="C109" s="328">
        <v>34.1</v>
      </c>
      <c r="D109" s="327" t="s">
        <v>181</v>
      </c>
      <c r="E109" s="327" t="s">
        <v>181</v>
      </c>
      <c r="F109" s="327" t="s">
        <v>181</v>
      </c>
      <c r="G109" s="327">
        <v>34.1</v>
      </c>
      <c r="H109" s="290">
        <v>341.1</v>
      </c>
    </row>
    <row r="110" spans="1:8" ht="14">
      <c r="A110" s="239"/>
      <c r="B110" s="273" t="s">
        <v>114</v>
      </c>
      <c r="C110" s="328">
        <v>100</v>
      </c>
      <c r="D110" s="327">
        <v>100</v>
      </c>
      <c r="E110" s="327" t="s">
        <v>181</v>
      </c>
      <c r="F110" s="327" t="s">
        <v>181</v>
      </c>
      <c r="G110" s="327" t="s">
        <v>181</v>
      </c>
      <c r="H110" s="290">
        <v>341.1</v>
      </c>
    </row>
    <row r="111" spans="1:8" ht="14">
      <c r="A111" s="239"/>
      <c r="B111" s="273" t="s">
        <v>115</v>
      </c>
      <c r="C111" s="327">
        <v>100</v>
      </c>
      <c r="D111" s="327">
        <v>100</v>
      </c>
      <c r="E111" s="327" t="s">
        <v>181</v>
      </c>
      <c r="F111" s="327" t="s">
        <v>181</v>
      </c>
      <c r="G111" s="327" t="s">
        <v>181</v>
      </c>
      <c r="H111" s="290">
        <v>341.1</v>
      </c>
    </row>
    <row r="112" spans="1:8" ht="14">
      <c r="A112" s="285"/>
      <c r="B112" s="274" t="s">
        <v>116</v>
      </c>
      <c r="C112" s="330">
        <v>26</v>
      </c>
      <c r="D112" s="329" t="s">
        <v>181</v>
      </c>
      <c r="E112" s="329" t="s">
        <v>181</v>
      </c>
      <c r="F112" s="329" t="s">
        <v>181</v>
      </c>
      <c r="G112" s="329">
        <v>26</v>
      </c>
      <c r="H112" s="293">
        <v>334.6</v>
      </c>
    </row>
    <row r="113" spans="1:8" ht="14">
      <c r="A113" s="238">
        <v>2020</v>
      </c>
      <c r="B113" s="247" t="s">
        <v>105</v>
      </c>
      <c r="C113" s="332">
        <v>86</v>
      </c>
      <c r="D113" s="332">
        <v>86</v>
      </c>
      <c r="E113" s="332" t="s">
        <v>181</v>
      </c>
      <c r="F113" s="332" t="s">
        <v>181</v>
      </c>
      <c r="G113" s="332" t="s">
        <v>181</v>
      </c>
      <c r="H113" s="287">
        <v>320.60000000000002</v>
      </c>
    </row>
    <row r="114" spans="1:8" ht="14">
      <c r="A114" s="239"/>
      <c r="B114" s="251" t="s">
        <v>106</v>
      </c>
      <c r="C114" s="327">
        <v>51</v>
      </c>
      <c r="D114" s="327">
        <v>51</v>
      </c>
      <c r="E114" s="327" t="s">
        <v>181</v>
      </c>
      <c r="F114" s="327" t="s">
        <v>181</v>
      </c>
      <c r="G114" s="327" t="s">
        <v>181</v>
      </c>
      <c r="H114" s="290">
        <v>271.60000000000002</v>
      </c>
    </row>
    <row r="115" spans="1:8" ht="14">
      <c r="A115" s="239"/>
      <c r="B115" s="251" t="s">
        <v>107</v>
      </c>
      <c r="C115" s="327">
        <v>47.5</v>
      </c>
      <c r="D115" s="327" t="s">
        <v>181</v>
      </c>
      <c r="E115" s="327" t="s">
        <v>181</v>
      </c>
      <c r="F115" s="327" t="s">
        <v>181</v>
      </c>
      <c r="G115" s="327">
        <v>47.5</v>
      </c>
      <c r="H115" s="290">
        <v>294.60000000000002</v>
      </c>
    </row>
    <row r="116" spans="1:8" ht="14">
      <c r="A116" s="239"/>
      <c r="B116" s="251" t="s">
        <v>108</v>
      </c>
      <c r="C116" s="327">
        <v>96</v>
      </c>
      <c r="D116" s="327">
        <v>96</v>
      </c>
      <c r="E116" s="327" t="s">
        <v>181</v>
      </c>
      <c r="F116" s="327" t="s">
        <v>181</v>
      </c>
      <c r="G116" s="327" t="s">
        <v>181</v>
      </c>
      <c r="H116" s="290">
        <v>304.60000000000002</v>
      </c>
    </row>
    <row r="117" spans="1:8" ht="14">
      <c r="A117" s="239"/>
      <c r="B117" s="251" t="s">
        <v>109</v>
      </c>
      <c r="C117" s="327">
        <v>100</v>
      </c>
      <c r="D117" s="327">
        <v>100</v>
      </c>
      <c r="E117" s="327" t="s">
        <v>181</v>
      </c>
      <c r="F117" s="327" t="s">
        <v>181</v>
      </c>
      <c r="G117" s="327" t="s">
        <v>181</v>
      </c>
      <c r="H117" s="290">
        <v>353.6</v>
      </c>
    </row>
    <row r="118" spans="1:8" ht="14">
      <c r="A118" s="239"/>
      <c r="B118" s="251" t="s">
        <v>110</v>
      </c>
      <c r="C118" s="327">
        <v>50</v>
      </c>
      <c r="D118" s="327" t="s">
        <v>181</v>
      </c>
      <c r="E118" s="327" t="s">
        <v>181</v>
      </c>
      <c r="F118" s="327" t="s">
        <v>181</v>
      </c>
      <c r="G118" s="327">
        <v>50</v>
      </c>
      <c r="H118" s="290">
        <v>353.6</v>
      </c>
    </row>
    <row r="119" spans="1:8" ht="14">
      <c r="A119" s="239"/>
      <c r="B119" s="251" t="s">
        <v>117</v>
      </c>
      <c r="C119" s="327">
        <v>100</v>
      </c>
      <c r="D119" s="327">
        <v>100</v>
      </c>
      <c r="E119" s="327" t="s">
        <v>181</v>
      </c>
      <c r="F119" s="327" t="s">
        <v>181</v>
      </c>
      <c r="G119" s="327" t="s">
        <v>181</v>
      </c>
      <c r="H119" s="290">
        <v>357.6</v>
      </c>
    </row>
    <row r="120" spans="1:8" ht="14">
      <c r="A120" s="239"/>
      <c r="B120" s="251" t="s">
        <v>112</v>
      </c>
      <c r="C120" s="327">
        <v>100</v>
      </c>
      <c r="D120" s="327">
        <v>100</v>
      </c>
      <c r="E120" s="327" t="s">
        <v>181</v>
      </c>
      <c r="F120" s="327" t="s">
        <v>181</v>
      </c>
      <c r="G120" s="327" t="s">
        <v>181</v>
      </c>
      <c r="H120" s="290">
        <v>357.6</v>
      </c>
    </row>
    <row r="121" spans="1:8" ht="14">
      <c r="A121" s="239"/>
      <c r="B121" s="273" t="s">
        <v>113</v>
      </c>
      <c r="C121" s="328">
        <v>50</v>
      </c>
      <c r="D121" s="327" t="s">
        <v>181</v>
      </c>
      <c r="E121" s="327" t="s">
        <v>181</v>
      </c>
      <c r="F121" s="327" t="s">
        <v>181</v>
      </c>
      <c r="G121" s="327">
        <v>50</v>
      </c>
      <c r="H121" s="290">
        <v>373.5</v>
      </c>
    </row>
    <row r="122" spans="1:8" ht="14">
      <c r="A122" s="239"/>
      <c r="B122" s="273" t="s">
        <v>114</v>
      </c>
      <c r="C122" s="327">
        <v>100</v>
      </c>
      <c r="D122" s="327">
        <v>100</v>
      </c>
      <c r="E122" s="327" t="s">
        <v>181</v>
      </c>
      <c r="F122" s="327" t="s">
        <v>181</v>
      </c>
      <c r="G122" s="327" t="s">
        <v>181</v>
      </c>
      <c r="H122" s="290">
        <v>373.5</v>
      </c>
    </row>
    <row r="123" spans="1:8" ht="14">
      <c r="A123" s="239"/>
      <c r="B123" s="273" t="s">
        <v>115</v>
      </c>
      <c r="C123" s="328">
        <v>100</v>
      </c>
      <c r="D123" s="327">
        <v>100</v>
      </c>
      <c r="E123" s="327" t="s">
        <v>181</v>
      </c>
      <c r="F123" s="327" t="s">
        <v>181</v>
      </c>
      <c r="G123" s="327" t="s">
        <v>181</v>
      </c>
      <c r="H123" s="290">
        <v>373.5</v>
      </c>
    </row>
    <row r="124" spans="1:8" ht="14">
      <c r="A124" s="240"/>
      <c r="B124" s="274" t="s">
        <v>116</v>
      </c>
      <c r="C124" s="330">
        <v>10</v>
      </c>
      <c r="D124" s="329" t="s">
        <v>181</v>
      </c>
      <c r="E124" s="329" t="s">
        <v>181</v>
      </c>
      <c r="F124" s="329" t="s">
        <v>181</v>
      </c>
      <c r="G124" s="329">
        <v>10</v>
      </c>
      <c r="H124" s="293">
        <v>357.5</v>
      </c>
    </row>
    <row r="125" spans="1:8" ht="14">
      <c r="A125" s="238">
        <v>2021</v>
      </c>
      <c r="B125" s="272" t="s">
        <v>105</v>
      </c>
      <c r="C125" s="333">
        <v>0</v>
      </c>
      <c r="D125" s="332">
        <v>0</v>
      </c>
      <c r="E125" s="332" t="s">
        <v>181</v>
      </c>
      <c r="F125" s="332" t="s">
        <v>181</v>
      </c>
      <c r="G125" s="332" t="s">
        <v>181</v>
      </c>
      <c r="H125" s="287">
        <v>257.5</v>
      </c>
    </row>
    <row r="126" spans="1:8" ht="14">
      <c r="A126" s="239"/>
      <c r="B126" s="273" t="s">
        <v>106</v>
      </c>
      <c r="C126" s="328">
        <v>100</v>
      </c>
      <c r="D126" s="327">
        <v>100</v>
      </c>
      <c r="E126" s="327" t="s">
        <v>181</v>
      </c>
      <c r="F126" s="327" t="s">
        <v>181</v>
      </c>
      <c r="G126" s="327" t="s">
        <v>181</v>
      </c>
      <c r="H126" s="290">
        <v>257.5</v>
      </c>
    </row>
    <row r="127" spans="1:8" ht="14">
      <c r="A127" s="239"/>
      <c r="B127" s="273" t="s">
        <v>107</v>
      </c>
      <c r="C127" s="336">
        <v>15</v>
      </c>
      <c r="D127" s="327" t="s">
        <v>181</v>
      </c>
      <c r="E127" s="327" t="s">
        <v>181</v>
      </c>
      <c r="F127" s="327" t="s">
        <v>181</v>
      </c>
      <c r="G127" s="327">
        <v>15</v>
      </c>
      <c r="H127" s="290">
        <v>225</v>
      </c>
    </row>
    <row r="128" spans="1:8" ht="14">
      <c r="A128" s="239"/>
      <c r="B128" s="273" t="s">
        <v>182</v>
      </c>
      <c r="C128" s="328">
        <v>100</v>
      </c>
      <c r="D128" s="327">
        <v>100</v>
      </c>
      <c r="E128" s="327" t="s">
        <v>181</v>
      </c>
      <c r="F128" s="327" t="s">
        <v>181</v>
      </c>
      <c r="G128" s="327" t="s">
        <v>181</v>
      </c>
      <c r="H128" s="290">
        <v>325</v>
      </c>
    </row>
    <row r="129" spans="1:8" ht="14">
      <c r="A129" s="239"/>
      <c r="B129" s="273" t="s">
        <v>109</v>
      </c>
      <c r="C129" s="328">
        <v>100</v>
      </c>
      <c r="D129" s="327">
        <v>100</v>
      </c>
      <c r="E129" s="327" t="s">
        <v>181</v>
      </c>
      <c r="F129" s="327" t="s">
        <v>181</v>
      </c>
      <c r="G129" s="327" t="s">
        <v>181</v>
      </c>
      <c r="H129" s="290">
        <v>325</v>
      </c>
    </row>
    <row r="130" spans="1:8" ht="14">
      <c r="A130" s="239"/>
      <c r="B130" s="273" t="s">
        <v>110</v>
      </c>
      <c r="C130" s="328">
        <v>5</v>
      </c>
      <c r="D130" s="327" t="s">
        <v>181</v>
      </c>
      <c r="E130" s="327" t="s">
        <v>181</v>
      </c>
      <c r="F130" s="327" t="s">
        <v>181</v>
      </c>
      <c r="G130" s="327" t="s">
        <v>181</v>
      </c>
      <c r="H130" s="290">
        <v>280</v>
      </c>
    </row>
    <row r="131" spans="1:8" ht="14">
      <c r="A131" s="239"/>
      <c r="B131" s="273" t="s">
        <v>117</v>
      </c>
      <c r="C131" s="328">
        <v>100</v>
      </c>
      <c r="D131" s="327">
        <v>100</v>
      </c>
      <c r="E131" s="327" t="s">
        <v>181</v>
      </c>
      <c r="F131" s="327" t="s">
        <v>181</v>
      </c>
      <c r="G131" s="327" t="s">
        <v>181</v>
      </c>
      <c r="H131" s="290">
        <v>280</v>
      </c>
    </row>
    <row r="132" spans="1:8" ht="14">
      <c r="A132" s="239"/>
      <c r="B132" s="273" t="s">
        <v>112</v>
      </c>
      <c r="C132" s="328">
        <v>100</v>
      </c>
      <c r="D132" s="327">
        <v>100</v>
      </c>
      <c r="E132" s="327" t="s">
        <v>181</v>
      </c>
      <c r="F132" s="327" t="s">
        <v>181</v>
      </c>
      <c r="G132" s="327" t="s">
        <v>181</v>
      </c>
      <c r="H132" s="290">
        <v>280</v>
      </c>
    </row>
    <row r="133" spans="1:8" ht="14">
      <c r="A133" s="239"/>
      <c r="B133" s="273" t="s">
        <v>113</v>
      </c>
      <c r="C133" s="327">
        <v>50</v>
      </c>
      <c r="D133" s="327" t="s">
        <v>181</v>
      </c>
      <c r="E133" s="327" t="s">
        <v>181</v>
      </c>
      <c r="F133" s="327" t="s">
        <v>181</v>
      </c>
      <c r="G133" s="327">
        <v>50</v>
      </c>
      <c r="H133" s="290">
        <v>280</v>
      </c>
    </row>
    <row r="134" spans="1:8" ht="14">
      <c r="A134" s="239"/>
      <c r="B134" s="273" t="s">
        <v>114</v>
      </c>
      <c r="C134" s="328">
        <v>100</v>
      </c>
      <c r="D134" s="327">
        <v>100</v>
      </c>
      <c r="E134" s="327" t="s">
        <v>181</v>
      </c>
      <c r="F134" s="327" t="s">
        <v>181</v>
      </c>
      <c r="G134" s="327" t="s">
        <v>181</v>
      </c>
      <c r="H134" s="290">
        <v>280</v>
      </c>
    </row>
    <row r="135" spans="1:8" ht="14">
      <c r="A135" s="239"/>
      <c r="B135" s="273" t="s">
        <v>115</v>
      </c>
      <c r="C135" s="328">
        <v>100</v>
      </c>
      <c r="D135" s="327">
        <v>100</v>
      </c>
      <c r="E135" s="327" t="s">
        <v>181</v>
      </c>
      <c r="F135" s="327" t="s">
        <v>181</v>
      </c>
      <c r="G135" s="327" t="s">
        <v>181</v>
      </c>
      <c r="H135" s="290">
        <v>280</v>
      </c>
    </row>
    <row r="136" spans="1:8" ht="14">
      <c r="A136" s="240"/>
      <c r="B136" s="274" t="s">
        <v>116</v>
      </c>
      <c r="C136" s="329" t="s">
        <v>181</v>
      </c>
      <c r="D136" s="329" t="s">
        <v>181</v>
      </c>
      <c r="E136" s="329" t="s">
        <v>181</v>
      </c>
      <c r="F136" s="329" t="s">
        <v>181</v>
      </c>
      <c r="G136" s="329" t="s">
        <v>181</v>
      </c>
      <c r="H136" s="293">
        <v>270</v>
      </c>
    </row>
    <row r="137" spans="1:8" ht="14">
      <c r="A137" s="238">
        <v>2022</v>
      </c>
      <c r="B137" s="272" t="s">
        <v>105</v>
      </c>
      <c r="C137" s="332">
        <v>100</v>
      </c>
      <c r="D137" s="332">
        <v>100</v>
      </c>
      <c r="E137" s="332" t="s">
        <v>181</v>
      </c>
      <c r="F137" s="332" t="s">
        <v>181</v>
      </c>
      <c r="G137" s="332" t="s">
        <v>181</v>
      </c>
      <c r="H137" s="287">
        <v>270</v>
      </c>
    </row>
    <row r="138" spans="1:8" ht="14">
      <c r="A138" s="239"/>
      <c r="B138" s="273" t="s">
        <v>106</v>
      </c>
      <c r="C138" s="327">
        <v>100</v>
      </c>
      <c r="D138" s="327">
        <v>100</v>
      </c>
      <c r="E138" s="327" t="s">
        <v>181</v>
      </c>
      <c r="F138" s="327" t="s">
        <v>181</v>
      </c>
      <c r="G138" s="327" t="s">
        <v>181</v>
      </c>
      <c r="H138" s="290">
        <v>270</v>
      </c>
    </row>
    <row r="139" spans="1:8" ht="14">
      <c r="A139" s="239"/>
      <c r="B139" s="273" t="s">
        <v>107</v>
      </c>
      <c r="C139" s="327">
        <v>50</v>
      </c>
      <c r="D139" s="327" t="s">
        <v>181</v>
      </c>
      <c r="E139" s="327" t="s">
        <v>181</v>
      </c>
      <c r="F139" s="327" t="s">
        <v>181</v>
      </c>
      <c r="G139" s="327">
        <v>50</v>
      </c>
      <c r="H139" s="290">
        <v>305</v>
      </c>
    </row>
    <row r="140" spans="1:8" ht="14">
      <c r="A140" s="239"/>
      <c r="B140" s="273" t="s">
        <v>108</v>
      </c>
      <c r="C140" s="327">
        <v>75</v>
      </c>
      <c r="D140" s="327">
        <v>75</v>
      </c>
      <c r="E140" s="327" t="s">
        <v>181</v>
      </c>
      <c r="F140" s="327" t="s">
        <v>181</v>
      </c>
      <c r="G140" s="327" t="s">
        <v>181</v>
      </c>
      <c r="H140" s="290">
        <v>280</v>
      </c>
    </row>
    <row r="141" spans="1:8" ht="14">
      <c r="A141" s="239"/>
      <c r="B141" s="273" t="s">
        <v>109</v>
      </c>
      <c r="C141" s="327">
        <v>100</v>
      </c>
      <c r="D141" s="327">
        <v>100</v>
      </c>
      <c r="E141" s="327" t="s">
        <v>181</v>
      </c>
      <c r="F141" s="327" t="s">
        <v>181</v>
      </c>
      <c r="G141" s="327" t="s">
        <v>181</v>
      </c>
      <c r="H141" s="290">
        <v>280</v>
      </c>
    </row>
    <row r="142" spans="1:8" ht="14">
      <c r="A142" s="239"/>
      <c r="B142" s="273" t="s">
        <v>110</v>
      </c>
      <c r="C142" s="327" t="s">
        <v>181</v>
      </c>
      <c r="D142" s="327" t="s">
        <v>181</v>
      </c>
      <c r="E142" s="327" t="s">
        <v>181</v>
      </c>
      <c r="F142" s="327" t="s">
        <v>181</v>
      </c>
      <c r="G142" s="327" t="s">
        <v>181</v>
      </c>
      <c r="H142" s="290">
        <v>280</v>
      </c>
    </row>
    <row r="143" spans="1:8" ht="14">
      <c r="A143" s="239"/>
      <c r="B143" s="273" t="s">
        <v>117</v>
      </c>
      <c r="C143" s="327">
        <v>70</v>
      </c>
      <c r="D143" s="327">
        <v>70</v>
      </c>
      <c r="E143" s="327" t="s">
        <v>181</v>
      </c>
      <c r="F143" s="327" t="s">
        <v>181</v>
      </c>
      <c r="G143" s="327" t="s">
        <v>181</v>
      </c>
      <c r="H143" s="290">
        <v>275</v>
      </c>
    </row>
    <row r="144" spans="1:8" ht="14">
      <c r="A144" s="239"/>
      <c r="B144" s="273" t="s">
        <v>112</v>
      </c>
      <c r="C144" s="327">
        <v>95</v>
      </c>
      <c r="D144" s="327">
        <v>95</v>
      </c>
      <c r="E144" s="327" t="s">
        <v>181</v>
      </c>
      <c r="F144" s="327" t="s">
        <v>181</v>
      </c>
      <c r="G144" s="327" t="s">
        <v>181</v>
      </c>
      <c r="H144" s="290">
        <v>270</v>
      </c>
    </row>
    <row r="145" spans="1:8" ht="14">
      <c r="A145" s="239"/>
      <c r="B145" s="273" t="s">
        <v>113</v>
      </c>
      <c r="C145" s="327">
        <v>50</v>
      </c>
      <c r="D145" s="327" t="s">
        <v>181</v>
      </c>
      <c r="E145" s="327" t="s">
        <v>181</v>
      </c>
      <c r="F145" s="327" t="s">
        <v>181</v>
      </c>
      <c r="G145" s="327">
        <v>50</v>
      </c>
      <c r="H145" s="290">
        <v>270</v>
      </c>
    </row>
    <row r="146" spans="1:8" ht="14">
      <c r="A146" s="239"/>
      <c r="B146" s="273" t="s">
        <v>114</v>
      </c>
      <c r="C146" s="327">
        <v>100</v>
      </c>
      <c r="D146" s="327">
        <v>100</v>
      </c>
      <c r="E146" s="327" t="s">
        <v>181</v>
      </c>
      <c r="F146" s="327" t="s">
        <v>181</v>
      </c>
      <c r="G146" s="327" t="s">
        <v>181</v>
      </c>
      <c r="H146" s="290">
        <v>300</v>
      </c>
    </row>
    <row r="147" spans="1:8" ht="14">
      <c r="A147" s="239"/>
      <c r="B147" s="273" t="s">
        <v>115</v>
      </c>
      <c r="C147" s="327">
        <v>100</v>
      </c>
      <c r="D147" s="327">
        <v>100</v>
      </c>
      <c r="E147" s="327" t="s">
        <v>181</v>
      </c>
      <c r="F147" s="327" t="s">
        <v>181</v>
      </c>
      <c r="G147" s="327" t="s">
        <v>181</v>
      </c>
      <c r="H147" s="290">
        <v>305</v>
      </c>
    </row>
    <row r="148" spans="1:8" ht="14">
      <c r="A148" s="285"/>
      <c r="B148" s="274" t="s">
        <v>116</v>
      </c>
      <c r="C148" s="329" t="s">
        <v>181</v>
      </c>
      <c r="D148" s="329" t="s">
        <v>181</v>
      </c>
      <c r="E148" s="329" t="s">
        <v>181</v>
      </c>
      <c r="F148" s="329" t="s">
        <v>181</v>
      </c>
      <c r="G148" s="329" t="s">
        <v>181</v>
      </c>
      <c r="H148" s="293">
        <v>305</v>
      </c>
    </row>
    <row r="149" spans="1:8" ht="14">
      <c r="A149" s="238">
        <v>2023</v>
      </c>
      <c r="B149" s="272" t="s">
        <v>105</v>
      </c>
      <c r="C149" s="332" t="s">
        <v>181</v>
      </c>
      <c r="D149" s="332" t="s">
        <v>181</v>
      </c>
      <c r="E149" s="332" t="s">
        <v>181</v>
      </c>
      <c r="F149" s="332" t="s">
        <v>181</v>
      </c>
      <c r="G149" s="332" t="s">
        <v>181</v>
      </c>
      <c r="H149" s="287">
        <v>205</v>
      </c>
    </row>
    <row r="150" spans="1:8" ht="14">
      <c r="A150" s="239"/>
      <c r="B150" s="273" t="s">
        <v>106</v>
      </c>
      <c r="C150" s="327">
        <v>100</v>
      </c>
      <c r="D150" s="327">
        <v>100</v>
      </c>
      <c r="E150" s="327" t="s">
        <v>181</v>
      </c>
      <c r="F150" s="327" t="s">
        <v>181</v>
      </c>
      <c r="G150" s="327" t="s">
        <v>181</v>
      </c>
      <c r="H150" s="290">
        <v>205</v>
      </c>
    </row>
    <row r="151" spans="1:8" ht="14">
      <c r="A151" s="239"/>
      <c r="B151" s="273" t="s">
        <v>107</v>
      </c>
      <c r="C151" s="327">
        <v>50</v>
      </c>
      <c r="D151" s="327" t="s">
        <v>181</v>
      </c>
      <c r="E151" s="327" t="s">
        <v>181</v>
      </c>
      <c r="F151" s="327" t="s">
        <v>181</v>
      </c>
      <c r="G151" s="327">
        <v>50</v>
      </c>
      <c r="H151" s="290">
        <v>205</v>
      </c>
    </row>
    <row r="152" spans="1:8" ht="14">
      <c r="A152" s="239"/>
      <c r="B152" s="273" t="s">
        <v>108</v>
      </c>
      <c r="C152" s="327">
        <v>65.5</v>
      </c>
      <c r="D152" s="327">
        <v>65.5</v>
      </c>
      <c r="E152" s="327" t="s">
        <v>181</v>
      </c>
      <c r="F152" s="327" t="s">
        <v>181</v>
      </c>
      <c r="G152" s="327" t="s">
        <v>181</v>
      </c>
      <c r="H152" s="290">
        <v>270.5</v>
      </c>
    </row>
    <row r="153" spans="1:8" ht="14">
      <c r="A153" s="239"/>
      <c r="B153" s="273" t="s">
        <v>109</v>
      </c>
      <c r="C153" s="327">
        <v>100</v>
      </c>
      <c r="D153" s="327">
        <v>100</v>
      </c>
      <c r="E153" s="327" t="s">
        <v>181</v>
      </c>
      <c r="F153" s="327" t="s">
        <v>181</v>
      </c>
      <c r="G153" s="327" t="s">
        <v>181</v>
      </c>
      <c r="H153" s="290">
        <v>270.5</v>
      </c>
    </row>
    <row r="154" spans="1:8" ht="14">
      <c r="A154" s="239"/>
      <c r="B154" s="273" t="s">
        <v>110</v>
      </c>
      <c r="C154" s="327">
        <v>50</v>
      </c>
      <c r="D154" s="327" t="s">
        <v>181</v>
      </c>
      <c r="E154" s="327" t="s">
        <v>181</v>
      </c>
      <c r="F154" s="327" t="s">
        <v>181</v>
      </c>
      <c r="G154" s="327">
        <v>50</v>
      </c>
      <c r="H154" s="290">
        <v>320.5</v>
      </c>
    </row>
    <row r="155" spans="1:8" ht="14">
      <c r="A155" s="239"/>
      <c r="B155" s="273" t="s">
        <v>117</v>
      </c>
      <c r="C155" s="327">
        <v>45</v>
      </c>
      <c r="D155" s="327">
        <v>45</v>
      </c>
      <c r="E155" s="327" t="s">
        <v>181</v>
      </c>
      <c r="F155" s="327" t="s">
        <v>181</v>
      </c>
      <c r="G155" s="327" t="s">
        <v>181</v>
      </c>
      <c r="H155" s="290">
        <v>300</v>
      </c>
    </row>
    <row r="156" spans="1:8" ht="14">
      <c r="A156" s="239"/>
      <c r="B156" s="273" t="s">
        <v>112</v>
      </c>
      <c r="C156" s="327">
        <v>100</v>
      </c>
      <c r="D156" s="327">
        <v>100</v>
      </c>
      <c r="E156" s="327" t="s">
        <v>181</v>
      </c>
      <c r="F156" s="327" t="s">
        <v>181</v>
      </c>
      <c r="G156" s="327" t="s">
        <v>181</v>
      </c>
      <c r="H156" s="290">
        <v>300</v>
      </c>
    </row>
    <row r="157" spans="1:8" ht="14">
      <c r="A157" s="239"/>
      <c r="B157" s="273" t="s">
        <v>113</v>
      </c>
      <c r="C157" s="327">
        <v>50</v>
      </c>
      <c r="D157" s="327" t="s">
        <v>181</v>
      </c>
      <c r="E157" s="327" t="s">
        <v>181</v>
      </c>
      <c r="F157" s="327" t="s">
        <v>181</v>
      </c>
      <c r="G157" s="327">
        <v>50</v>
      </c>
      <c r="H157" s="290">
        <v>300</v>
      </c>
    </row>
    <row r="158" spans="1:8" ht="14">
      <c r="A158" s="239"/>
      <c r="B158" s="273" t="s">
        <v>114</v>
      </c>
      <c r="C158" s="327">
        <v>84</v>
      </c>
      <c r="D158" s="327">
        <v>84</v>
      </c>
      <c r="E158" s="327" t="s">
        <v>181</v>
      </c>
      <c r="F158" s="327" t="s">
        <v>181</v>
      </c>
      <c r="G158" s="327" t="s">
        <v>181</v>
      </c>
      <c r="H158" s="290">
        <v>339</v>
      </c>
    </row>
    <row r="159" spans="1:8" ht="14">
      <c r="A159" s="239"/>
      <c r="B159" s="273" t="s">
        <v>115</v>
      </c>
      <c r="C159" s="327">
        <v>100</v>
      </c>
      <c r="D159" s="327">
        <v>100</v>
      </c>
      <c r="E159" s="327" t="s">
        <v>181</v>
      </c>
      <c r="F159" s="327" t="s">
        <v>181</v>
      </c>
      <c r="G159" s="327" t="s">
        <v>181</v>
      </c>
      <c r="H159" s="290">
        <v>339</v>
      </c>
    </row>
    <row r="160" spans="1:8" ht="14">
      <c r="A160" s="240"/>
      <c r="B160" s="274" t="s">
        <v>116</v>
      </c>
      <c r="C160" s="329" t="s">
        <v>181</v>
      </c>
      <c r="D160" s="329" t="s">
        <v>181</v>
      </c>
      <c r="E160" s="329" t="s">
        <v>181</v>
      </c>
      <c r="F160" s="329" t="s">
        <v>181</v>
      </c>
      <c r="G160" s="329" t="s">
        <v>181</v>
      </c>
      <c r="H160" s="293">
        <v>339</v>
      </c>
    </row>
    <row r="161" spans="1:8" ht="14">
      <c r="A161" s="238">
        <v>2024</v>
      </c>
      <c r="B161" s="272" t="s">
        <v>105</v>
      </c>
      <c r="C161" s="332">
        <v>100</v>
      </c>
      <c r="D161" s="332">
        <v>100</v>
      </c>
      <c r="E161" s="332" t="s">
        <v>181</v>
      </c>
      <c r="F161" s="332" t="s">
        <v>181</v>
      </c>
      <c r="G161" s="332" t="s">
        <v>181</v>
      </c>
      <c r="H161" s="287">
        <v>355</v>
      </c>
    </row>
    <row r="162" spans="1:8" ht="14">
      <c r="A162" s="239"/>
      <c r="B162" s="273" t="s">
        <v>106</v>
      </c>
      <c r="C162" s="327">
        <v>100</v>
      </c>
      <c r="D162" s="327">
        <v>100</v>
      </c>
      <c r="E162" s="327" t="s">
        <v>181</v>
      </c>
      <c r="F162" s="327" t="s">
        <v>181</v>
      </c>
      <c r="G162" s="327" t="s">
        <v>181</v>
      </c>
      <c r="H162" s="290">
        <v>355</v>
      </c>
    </row>
    <row r="163" spans="1:8" ht="14">
      <c r="A163" s="239"/>
      <c r="B163" s="273" t="s">
        <v>107</v>
      </c>
      <c r="C163" s="327">
        <v>48.75</v>
      </c>
      <c r="D163" s="327" t="s">
        <v>181</v>
      </c>
      <c r="E163" s="327" t="s">
        <v>181</v>
      </c>
      <c r="F163" s="327" t="s">
        <v>181</v>
      </c>
      <c r="G163" s="327">
        <v>48.75</v>
      </c>
      <c r="H163" s="290">
        <v>353.75</v>
      </c>
    </row>
    <row r="164" spans="1:8" ht="14">
      <c r="A164" s="239"/>
      <c r="B164" s="273" t="s">
        <v>108</v>
      </c>
      <c r="C164" s="327">
        <v>65</v>
      </c>
      <c r="D164" s="327">
        <v>65</v>
      </c>
      <c r="E164" s="327" t="s">
        <v>181</v>
      </c>
      <c r="F164" s="327" t="s">
        <v>181</v>
      </c>
      <c r="G164" s="327" t="s">
        <v>181</v>
      </c>
      <c r="H164" s="290">
        <v>318.75</v>
      </c>
    </row>
    <row r="165" spans="1:8" ht="14">
      <c r="A165" s="239"/>
      <c r="B165" s="273" t="s">
        <v>109</v>
      </c>
      <c r="C165" s="327">
        <v>95</v>
      </c>
      <c r="D165" s="327">
        <v>95</v>
      </c>
      <c r="E165" s="327" t="s">
        <v>181</v>
      </c>
      <c r="F165" s="327" t="s">
        <v>181</v>
      </c>
      <c r="G165" s="327" t="s">
        <v>181</v>
      </c>
      <c r="H165" s="290">
        <v>313.75</v>
      </c>
    </row>
    <row r="166" spans="1:8" ht="14">
      <c r="A166" s="239"/>
      <c r="B166" s="273" t="s">
        <v>110</v>
      </c>
      <c r="C166" s="327">
        <v>50</v>
      </c>
      <c r="D166" s="327" t="s">
        <v>181</v>
      </c>
      <c r="E166" s="327" t="s">
        <v>181</v>
      </c>
      <c r="F166" s="327" t="s">
        <v>181</v>
      </c>
      <c r="G166" s="327">
        <v>50</v>
      </c>
      <c r="H166" s="290">
        <v>308.75</v>
      </c>
    </row>
    <row r="167" spans="1:8" ht="14">
      <c r="A167" s="239"/>
      <c r="B167" s="273" t="s">
        <v>117</v>
      </c>
      <c r="C167" s="327">
        <v>70</v>
      </c>
      <c r="D167" s="327">
        <v>70</v>
      </c>
      <c r="E167" s="327" t="s">
        <v>181</v>
      </c>
      <c r="F167" s="327" t="s">
        <v>181</v>
      </c>
      <c r="G167" s="327" t="s">
        <v>181</v>
      </c>
      <c r="H167" s="290">
        <v>313.75</v>
      </c>
    </row>
    <row r="168" spans="1:8" ht="14">
      <c r="A168" s="239"/>
      <c r="B168" s="273" t="s">
        <v>112</v>
      </c>
      <c r="C168" s="327">
        <v>70</v>
      </c>
      <c r="D168" s="327">
        <v>70</v>
      </c>
      <c r="E168" s="327" t="s">
        <v>181</v>
      </c>
      <c r="F168" s="327" t="s">
        <v>181</v>
      </c>
      <c r="G168" s="327" t="s">
        <v>181</v>
      </c>
      <c r="H168" s="290">
        <v>288.75</v>
      </c>
    </row>
    <row r="169" spans="1:8" ht="14">
      <c r="A169" s="239"/>
      <c r="B169" s="273" t="s">
        <v>113</v>
      </c>
      <c r="C169" s="327">
        <v>50</v>
      </c>
      <c r="D169" s="327" t="s">
        <v>181</v>
      </c>
      <c r="E169" s="327" t="s">
        <v>181</v>
      </c>
      <c r="F169" s="327" t="s">
        <v>181</v>
      </c>
      <c r="G169" s="327">
        <v>50</v>
      </c>
      <c r="H169" s="290">
        <v>288.75</v>
      </c>
    </row>
    <row r="170" spans="1:8" ht="14">
      <c r="A170" s="239"/>
      <c r="B170" s="273" t="s">
        <v>114</v>
      </c>
      <c r="C170" s="327">
        <v>82.6</v>
      </c>
      <c r="D170" s="327">
        <v>82.6</v>
      </c>
      <c r="E170" s="327" t="s">
        <v>181</v>
      </c>
      <c r="F170" s="327" t="s">
        <v>181</v>
      </c>
      <c r="G170" s="327" t="s">
        <v>181</v>
      </c>
      <c r="H170" s="290">
        <v>301.35000000000002</v>
      </c>
    </row>
    <row r="171" spans="1:8" ht="14">
      <c r="A171" s="239"/>
      <c r="B171" s="273" t="s">
        <v>115</v>
      </c>
      <c r="C171" s="327">
        <v>75</v>
      </c>
      <c r="D171" s="327">
        <v>75</v>
      </c>
      <c r="E171" s="327" t="s">
        <v>181</v>
      </c>
      <c r="F171" s="327" t="s">
        <v>181</v>
      </c>
      <c r="G171" s="327" t="s">
        <v>181</v>
      </c>
      <c r="H171" s="290">
        <v>306.35000000000002</v>
      </c>
    </row>
    <row r="172" spans="1:8" ht="14">
      <c r="A172" s="240"/>
      <c r="B172" s="274" t="s">
        <v>116</v>
      </c>
      <c r="C172" s="329">
        <v>15</v>
      </c>
      <c r="D172" s="329" t="s">
        <v>181</v>
      </c>
      <c r="E172" s="329" t="s">
        <v>181</v>
      </c>
      <c r="F172" s="329" t="s">
        <v>181</v>
      </c>
      <c r="G172" s="329">
        <v>15</v>
      </c>
      <c r="H172" s="293">
        <v>321.35000000000002</v>
      </c>
    </row>
    <row r="173" spans="1:8" ht="14">
      <c r="A173" s="238">
        <v>2025</v>
      </c>
      <c r="B173" s="272" t="s">
        <v>105</v>
      </c>
      <c r="C173" s="332">
        <v>72</v>
      </c>
      <c r="D173" s="332">
        <v>72</v>
      </c>
      <c r="E173" s="332" t="s">
        <v>181</v>
      </c>
      <c r="F173" s="332" t="s">
        <v>181</v>
      </c>
      <c r="G173" s="332" t="s">
        <v>181</v>
      </c>
      <c r="H173" s="287">
        <v>310.75</v>
      </c>
    </row>
    <row r="174" spans="1:8" ht="14">
      <c r="A174" s="239"/>
      <c r="B174" s="273" t="s">
        <v>106</v>
      </c>
      <c r="C174" s="327">
        <v>55</v>
      </c>
      <c r="D174" s="327">
        <v>55</v>
      </c>
      <c r="E174" s="327" t="s">
        <v>181</v>
      </c>
      <c r="F174" s="327" t="s">
        <v>181</v>
      </c>
      <c r="G174" s="327" t="s">
        <v>181</v>
      </c>
      <c r="H174" s="290">
        <v>290.75</v>
      </c>
    </row>
    <row r="175" spans="1:8" ht="14">
      <c r="A175" s="239"/>
      <c r="B175" s="273" t="s">
        <v>107</v>
      </c>
      <c r="C175" s="327">
        <v>45</v>
      </c>
      <c r="D175" s="327" t="s">
        <v>181</v>
      </c>
      <c r="E175" s="327" t="s">
        <v>181</v>
      </c>
      <c r="F175" s="327" t="s">
        <v>181</v>
      </c>
      <c r="G175" s="327">
        <v>45</v>
      </c>
      <c r="H175" s="290">
        <v>287</v>
      </c>
    </row>
    <row r="176" spans="1:8" ht="14">
      <c r="A176" s="239"/>
      <c r="B176" s="273" t="s">
        <v>108</v>
      </c>
      <c r="C176" s="327">
        <v>78</v>
      </c>
      <c r="D176" s="327">
        <v>78</v>
      </c>
      <c r="E176" s="327" t="s">
        <v>181</v>
      </c>
      <c r="F176" s="327" t="s">
        <v>181</v>
      </c>
      <c r="G176" s="327" t="s">
        <v>181</v>
      </c>
      <c r="H176" s="290">
        <v>293</v>
      </c>
    </row>
    <row r="177" spans="1:8" ht="14">
      <c r="A177" s="239"/>
      <c r="B177" s="273" t="s">
        <v>109</v>
      </c>
      <c r="C177" s="327">
        <v>60</v>
      </c>
      <c r="D177" s="327">
        <v>60</v>
      </c>
      <c r="E177" s="327" t="s">
        <v>181</v>
      </c>
      <c r="F177" s="327" t="s">
        <v>181</v>
      </c>
      <c r="G177" s="327" t="s">
        <v>181</v>
      </c>
      <c r="H177" s="290">
        <v>298</v>
      </c>
    </row>
    <row r="178" spans="1:8" ht="14">
      <c r="A178" s="239"/>
      <c r="B178" s="273" t="s">
        <v>110</v>
      </c>
      <c r="C178" s="327">
        <v>40</v>
      </c>
      <c r="D178" s="327" t="s">
        <v>181</v>
      </c>
      <c r="E178" s="327" t="s">
        <v>181</v>
      </c>
      <c r="F178" s="327" t="s">
        <v>181</v>
      </c>
      <c r="G178" s="327">
        <v>40</v>
      </c>
      <c r="H178" s="290">
        <v>288</v>
      </c>
    </row>
    <row r="179" spans="1:8" ht="14">
      <c r="A179" s="239"/>
      <c r="B179" s="273" t="s">
        <v>117</v>
      </c>
      <c r="C179" s="327">
        <v>77</v>
      </c>
      <c r="D179" s="327">
        <v>77</v>
      </c>
      <c r="E179" s="327" t="s">
        <v>181</v>
      </c>
      <c r="F179" s="327" t="s">
        <v>181</v>
      </c>
      <c r="G179" s="327" t="s">
        <v>181</v>
      </c>
      <c r="H179" s="290">
        <v>287</v>
      </c>
    </row>
    <row r="180" spans="1:8" ht="14">
      <c r="A180" s="239"/>
      <c r="B180" s="273" t="s">
        <v>112</v>
      </c>
      <c r="C180" s="327">
        <v>73</v>
      </c>
      <c r="D180" s="327">
        <v>73</v>
      </c>
      <c r="E180" s="327" t="s">
        <v>181</v>
      </c>
      <c r="F180" s="327" t="s">
        <v>181</v>
      </c>
      <c r="G180" s="327" t="s">
        <v>181</v>
      </c>
      <c r="H180" s="290">
        <v>300</v>
      </c>
    </row>
    <row r="181" spans="1:8" ht="14">
      <c r="A181" s="239"/>
      <c r="B181" s="273" t="s">
        <v>113</v>
      </c>
      <c r="C181" s="327">
        <v>72</v>
      </c>
      <c r="D181" s="327" t="s">
        <v>181</v>
      </c>
      <c r="E181" s="327" t="s">
        <v>181</v>
      </c>
      <c r="F181" s="327" t="s">
        <v>181</v>
      </c>
      <c r="G181" s="327">
        <v>72</v>
      </c>
      <c r="H181" s="290">
        <v>322</v>
      </c>
    </row>
    <row r="182" spans="1:8" ht="14">
      <c r="A182" s="239"/>
      <c r="B182" s="273" t="s">
        <v>114</v>
      </c>
      <c r="C182" s="327">
        <v>95</v>
      </c>
      <c r="D182" s="327">
        <v>95</v>
      </c>
      <c r="E182" s="327" t="s">
        <v>181</v>
      </c>
      <c r="F182" s="327" t="s">
        <v>181</v>
      </c>
      <c r="G182" s="327" t="s">
        <v>181</v>
      </c>
      <c r="H182" s="290">
        <v>340</v>
      </c>
    </row>
    <row r="183" spans="1:8" ht="14">
      <c r="A183" s="239"/>
      <c r="B183" s="273" t="s">
        <v>115</v>
      </c>
      <c r="C183" s="327">
        <v>78</v>
      </c>
      <c r="D183" s="327">
        <v>78</v>
      </c>
      <c r="E183" s="327" t="s">
        <v>181</v>
      </c>
      <c r="F183" s="327" t="s">
        <v>181</v>
      </c>
      <c r="G183" s="327" t="s">
        <v>181</v>
      </c>
      <c r="H183" s="290">
        <v>345</v>
      </c>
    </row>
    <row r="184" spans="1:8" ht="14">
      <c r="A184" s="240"/>
      <c r="B184" s="274" t="s">
        <v>116</v>
      </c>
      <c r="C184" s="329">
        <v>30</v>
      </c>
      <c r="D184" s="329" t="s">
        <v>181</v>
      </c>
      <c r="E184" s="329" t="s">
        <v>181</v>
      </c>
      <c r="F184" s="329" t="s">
        <v>181</v>
      </c>
      <c r="G184" s="329">
        <v>30</v>
      </c>
      <c r="H184" s="293">
        <v>360</v>
      </c>
    </row>
    <row r="185" spans="1:8" ht="14">
      <c r="A185" s="238">
        <v>2026</v>
      </c>
      <c r="B185" s="272" t="s">
        <v>105</v>
      </c>
      <c r="C185" s="332" t="s">
        <v>181</v>
      </c>
      <c r="D185" s="332" t="s">
        <v>181</v>
      </c>
      <c r="E185" s="332" t="s">
        <v>181</v>
      </c>
      <c r="F185" s="332" t="s">
        <v>181</v>
      </c>
      <c r="G185" s="332" t="s">
        <v>181</v>
      </c>
      <c r="H185" s="287">
        <v>265</v>
      </c>
    </row>
    <row r="186" spans="1:8" ht="14">
      <c r="A186" s="239"/>
      <c r="B186" s="273" t="s">
        <v>106</v>
      </c>
      <c r="C186" s="327">
        <v>50</v>
      </c>
      <c r="D186" s="327" t="s">
        <v>181</v>
      </c>
      <c r="E186" s="327">
        <v>50</v>
      </c>
      <c r="F186" s="327" t="s">
        <v>181</v>
      </c>
      <c r="G186" s="327" t="s">
        <v>181</v>
      </c>
      <c r="H186" s="290">
        <v>237</v>
      </c>
    </row>
    <row r="187" spans="1:8" ht="14">
      <c r="A187" s="239"/>
      <c r="B187" s="273" t="s">
        <v>107</v>
      </c>
      <c r="C187" s="327">
        <v>50</v>
      </c>
      <c r="D187" s="327" t="s">
        <v>181</v>
      </c>
      <c r="E187" s="327" t="s">
        <v>181</v>
      </c>
      <c r="F187" s="327" t="s">
        <v>181</v>
      </c>
      <c r="G187" s="327">
        <v>50</v>
      </c>
      <c r="H187" s="290">
        <v>242</v>
      </c>
    </row>
    <row r="188" spans="1:8" ht="14">
      <c r="A188" s="239"/>
      <c r="B188" s="273" t="s">
        <v>108</v>
      </c>
      <c r="C188" s="327">
        <v>100</v>
      </c>
      <c r="D188" s="327">
        <v>100</v>
      </c>
      <c r="E188" s="327" t="s">
        <v>181</v>
      </c>
      <c r="F188" s="327" t="s">
        <v>181</v>
      </c>
      <c r="G188" s="327" t="s">
        <v>181</v>
      </c>
      <c r="H188" s="290">
        <v>342</v>
      </c>
    </row>
    <row r="189" spans="1:8" ht="14">
      <c r="A189" s="240"/>
      <c r="B189" s="274" t="s">
        <v>109</v>
      </c>
      <c r="C189" s="329">
        <v>50</v>
      </c>
      <c r="D189" s="329" t="s">
        <v>181</v>
      </c>
      <c r="E189" s="329">
        <v>50</v>
      </c>
      <c r="F189" s="329" t="s">
        <v>181</v>
      </c>
      <c r="G189" s="329" t="s">
        <v>181</v>
      </c>
      <c r="H189" s="293">
        <v>392</v>
      </c>
    </row>
    <row r="190" spans="1:8">
      <c r="C190" s="71"/>
      <c r="D190" s="71"/>
      <c r="E190" s="71"/>
      <c r="F190" s="71"/>
      <c r="G190" s="71"/>
      <c r="H190" s="71"/>
    </row>
    <row r="191" spans="1:8">
      <c r="A191" s="170" t="s">
        <v>118</v>
      </c>
    </row>
  </sheetData>
  <sheetProtection sheet="1" formatCells="0" insertColumns="0" insertRows="0" deleteColumns="0" deleteRows="0"/>
  <mergeCells count="5">
    <mergeCell ref="C3:G3"/>
    <mergeCell ref="A2:H2"/>
    <mergeCell ref="A3:B4"/>
    <mergeCell ref="H3:H4"/>
    <mergeCell ref="A1:G1"/>
  </mergeCells>
  <printOptions horizontalCentered="1"/>
  <pageMargins left="0.25" right="0.2" top="1.1200000000000001"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6E4E0CAE4E064CAEACB226D202E143" ma:contentTypeVersion="11" ma:contentTypeDescription="Create a new document." ma:contentTypeScope="" ma:versionID="4efd71a9b314c2676c4935ab222651fd">
  <xsd:schema xmlns:xsd="http://www.w3.org/2001/XMLSchema" xmlns:xs="http://www.w3.org/2001/XMLSchema" xmlns:p="http://schemas.microsoft.com/office/2006/metadata/properties" xmlns:ns2="a0a08831-4843-4c64-a48d-43cb1c350eb6" xmlns:ns3="990d131d-45a3-4e2e-bb3f-d15b98c582da" targetNamespace="http://schemas.microsoft.com/office/2006/metadata/properties" ma:root="true" ma:fieldsID="a52d4db107f3fe4cb3c1934fcdf1268e" ns2:_="" ns3:_="">
    <xsd:import namespace="a0a08831-4843-4c64-a48d-43cb1c350eb6"/>
    <xsd:import namespace="990d131d-45a3-4e2e-bb3f-d15b98c582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a08831-4843-4c64-a48d-43cb1c350e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412ceda-33a0-467b-ba8c-74f483d24d0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d131d-45a3-4e2e-bb3f-d15b98c582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ab4b66-2c6d-4f6c-85c1-fe73a4b630a3}" ma:internalName="TaxCatchAll" ma:showField="CatchAllData" ma:web="990d131d-45a3-4e2e-bb3f-d15b98c582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a08831-4843-4c64-a48d-43cb1c350eb6">
      <Terms xmlns="http://schemas.microsoft.com/office/infopath/2007/PartnerControls"/>
    </lcf76f155ced4ddcb4097134ff3c332f>
    <TaxCatchAll xmlns="990d131d-45a3-4e2e-bb3f-d15b98c582d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982EF6-341C-48EC-B67A-70000922559A}"/>
</file>

<file path=customXml/itemProps2.xml><?xml version="1.0" encoding="utf-8"?>
<ds:datastoreItem xmlns:ds="http://schemas.openxmlformats.org/officeDocument/2006/customXml" ds:itemID="{1C420E15-0830-4724-A48E-13D179CFDDFD}">
  <ds:schemaRefs>
    <ds:schemaRef ds:uri="http://schemas.microsoft.com/sharepoint/v3"/>
    <ds:schemaRef ds:uri="6fb3a99e-f6f2-4d3a-aa16-7f3d12f76382"/>
    <ds:schemaRef ds:uri="http://purl.org/dc/elements/1.1/"/>
    <ds:schemaRef ds:uri="http://schemas.microsoft.com/office/infopath/2007/PartnerControls"/>
    <ds:schemaRef ds:uri="http://purl.org/dc/dcmitype/"/>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512e5757-ef62-4dd7-a8cc-2f5813d88218"/>
    <ds:schemaRef ds:uri="http://purl.org/dc/terms/"/>
  </ds:schemaRefs>
</ds:datastoreItem>
</file>

<file path=customXml/itemProps3.xml><?xml version="1.0" encoding="utf-8"?>
<ds:datastoreItem xmlns:ds="http://schemas.openxmlformats.org/officeDocument/2006/customXml" ds:itemID="{7629EA5F-34BE-4666-BCA5-873491E6F469}">
  <ds:schemaRefs>
    <ds:schemaRef ds:uri="http://schemas.microsoft.com/sharepoint/v3/contenttype/forms"/>
  </ds:schemaRefs>
</ds:datastoreItem>
</file>

<file path=docMetadata/LabelInfo.xml><?xml version="1.0" encoding="utf-8"?>
<clbl:labelList xmlns:clbl="http://schemas.microsoft.com/office/2020/mipLabelMetadata">
  <clbl:label id="{f7b9ce37-f1a5-42ad-8abe-e7a2a7728b17}" enabled="1" method="Standard" siteId="{55ed247a-6549-4673-bb41-a99befb0b6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37</vt:i4>
      </vt:variant>
      <vt:variant>
        <vt:lpstr>Charts</vt:lpstr>
      </vt:variant>
      <vt:variant>
        <vt:i4>14</vt:i4>
      </vt:variant>
      <vt:variant>
        <vt:lpstr>Named Ranges</vt:lpstr>
      </vt:variant>
      <vt:variant>
        <vt:i4>7</vt:i4>
      </vt:variant>
    </vt:vector>
  </HeadingPairs>
  <TitlesOfParts>
    <vt:vector size="58" baseType="lpstr">
      <vt:lpstr>CONTENTS</vt:lpstr>
      <vt:lpstr>GLOSSARY</vt:lpstr>
      <vt:lpstr>1.1</vt:lpstr>
      <vt:lpstr>1.2.1</vt:lpstr>
      <vt:lpstr>1.7</vt:lpstr>
      <vt:lpstr>1.2</vt:lpstr>
      <vt:lpstr>1.3</vt:lpstr>
      <vt:lpstr>1.4</vt:lpstr>
      <vt:lpstr>1.5</vt:lpstr>
      <vt:lpstr>1.5.1</vt:lpstr>
      <vt:lpstr>2.1</vt:lpstr>
      <vt:lpstr>2.2</vt:lpstr>
      <vt:lpstr>2.3</vt:lpstr>
      <vt:lpstr>2.4</vt:lpstr>
      <vt:lpstr>2.5</vt:lpstr>
      <vt:lpstr>2.6</vt:lpstr>
      <vt:lpstr>3.1</vt:lpstr>
      <vt:lpstr>3.2</vt:lpstr>
      <vt:lpstr>3.3</vt:lpstr>
      <vt:lpstr>4.1</vt:lpstr>
      <vt:lpstr>4.2</vt:lpstr>
      <vt:lpstr>4.3</vt:lpstr>
      <vt:lpstr>Chart 4.3</vt:lpstr>
      <vt:lpstr>4.4</vt:lpstr>
      <vt:lpstr>4.5</vt:lpstr>
      <vt:lpstr>4.6</vt:lpstr>
      <vt:lpstr>4.7</vt:lpstr>
      <vt:lpstr> 5.1</vt:lpstr>
      <vt:lpstr>5.2 </vt:lpstr>
      <vt:lpstr>Chart 5.2</vt:lpstr>
      <vt:lpstr> 5.3</vt:lpstr>
      <vt:lpstr>6.1</vt:lpstr>
      <vt:lpstr>5.1</vt:lpstr>
      <vt:lpstr>5.2</vt:lpstr>
      <vt:lpstr> 6.2</vt:lpstr>
      <vt:lpstr>6.3</vt:lpstr>
      <vt:lpstr>2.7</vt:lpstr>
      <vt:lpstr>Chart 1.1</vt:lpstr>
      <vt:lpstr>Chart 1.2</vt:lpstr>
      <vt:lpstr>Chart 2.1 &amp; 2.2</vt:lpstr>
      <vt:lpstr>Chart 2.3</vt:lpstr>
      <vt:lpstr>Chart 2.6</vt:lpstr>
      <vt:lpstr>Chart 3.1</vt:lpstr>
      <vt:lpstr>Chart 3.2</vt:lpstr>
      <vt:lpstr>Chart 3.3</vt:lpstr>
      <vt:lpstr>Chart 4.1</vt:lpstr>
      <vt:lpstr>Chart 4.2</vt:lpstr>
      <vt:lpstr>Chart 4.7</vt:lpstr>
      <vt:lpstr>Chart 5.1</vt:lpstr>
      <vt:lpstr>Chart 6.1</vt:lpstr>
      <vt:lpstr>Chart 6.2</vt:lpstr>
      <vt:lpstr>' 6.2'!Print_Area</vt:lpstr>
      <vt:lpstr>'1.1'!Print_Area</vt:lpstr>
      <vt:lpstr>'1.5'!Print_Area</vt:lpstr>
      <vt:lpstr>'1.5.1'!Print_Area</vt:lpstr>
      <vt:lpstr>'3.1'!Print_Area</vt:lpstr>
      <vt:lpstr>'6.1'!Print_Area</vt:lpstr>
      <vt:lpstr>CONTENTS!Print_Titles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Autoriti Monetari Brunei Darussalam</dc:creator>
  <cp:keywords/>
  <dc:description/>
  <cp:lastModifiedBy>Hjh Siti Marhain binti Hj Md Hashim</cp:lastModifiedBy>
  <cp:revision/>
  <dcterms:created xsi:type="dcterms:W3CDTF">2012-12-30T07:53:55Z</dcterms:created>
  <dcterms:modified xsi:type="dcterms:W3CDTF">2026-06-11T00:46:28Z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0x010100B56E4E0CAE4E064CAEACB226D202E143</vt:lpwstr>
  </property>
  <property fmtid="{D5CDD505-2E9C-101B-9397-08002B2CF9AE}" pid="3" name="MediaServiceImageTags">
    <vt:lpwstr/>
  </property>
</Properties>
</file>